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SS\Insurance Advisory Panel (formerly HKIISG) meeting\2024\Meetings\30 April 2024\"/>
    </mc:Choice>
  </mc:AlternateContent>
  <bookViews>
    <workbookView xWindow="-2790" yWindow="1080" windowWidth="19460" windowHeight="11060"/>
  </bookViews>
  <sheets>
    <sheet name="Scenario 1 - IACF &gt; premium" sheetId="2" r:id="rId1"/>
    <sheet name="Scenario 2 - NDIC &gt; premium" sheetId="3" r:id="rId2"/>
    <sheet name="Scenario 3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0" i="1" l="1"/>
  <c r="C220" i="1"/>
  <c r="B220" i="1"/>
  <c r="B211" i="1"/>
  <c r="D211" i="1" s="1"/>
  <c r="F211" i="1" s="1"/>
  <c r="D210" i="1"/>
  <c r="F210" i="1" s="1"/>
  <c r="D209" i="1"/>
  <c r="D208" i="1"/>
  <c r="E205" i="1"/>
  <c r="D205" i="1"/>
  <c r="F205" i="1" s="1"/>
  <c r="F204" i="1"/>
  <c r="D204" i="1"/>
  <c r="C204" i="1"/>
  <c r="B203" i="1"/>
  <c r="B200" i="1"/>
  <c r="B226" i="1" s="1"/>
  <c r="D199" i="1"/>
  <c r="F199" i="1" s="1"/>
  <c r="D198" i="1"/>
  <c r="D197" i="1"/>
  <c r="C196" i="1"/>
  <c r="D196" i="1" s="1"/>
  <c r="F196" i="1" s="1"/>
  <c r="D194" i="1"/>
  <c r="D193" i="1"/>
  <c r="F193" i="1" s="1"/>
  <c r="B192" i="1"/>
  <c r="C190" i="1"/>
  <c r="D190" i="1" s="1"/>
  <c r="F190" i="1" s="1"/>
  <c r="D187" i="1"/>
  <c r="B179" i="1"/>
  <c r="D152" i="1"/>
  <c r="D151" i="1"/>
  <c r="D148" i="1"/>
  <c r="D141" i="1"/>
  <c r="D140" i="1"/>
  <c r="D137" i="1"/>
  <c r="F130" i="1"/>
  <c r="D130" i="1"/>
  <c r="B122" i="1"/>
  <c r="D95" i="1"/>
  <c r="D94" i="1"/>
  <c r="D91" i="1"/>
  <c r="D84" i="1"/>
  <c r="E83" i="1"/>
  <c r="D83" i="1"/>
  <c r="E80" i="1"/>
  <c r="D80" i="1"/>
  <c r="F80" i="1" s="1"/>
  <c r="F73" i="1"/>
  <c r="D73" i="1"/>
  <c r="D40" i="1"/>
  <c r="D39" i="1"/>
  <c r="D36" i="1"/>
  <c r="D35" i="1"/>
  <c r="F35" i="1" s="1"/>
  <c r="D29" i="1"/>
  <c r="E28" i="1"/>
  <c r="D28" i="1"/>
  <c r="F28" i="1" s="1"/>
  <c r="D25" i="1"/>
  <c r="D24" i="1"/>
  <c r="F24" i="1" s="1"/>
  <c r="D18" i="1"/>
  <c r="D10" i="1"/>
  <c r="E94" i="1" s="1"/>
  <c r="F94" i="1" s="1"/>
  <c r="C10" i="1"/>
  <c r="E140" i="1" s="1"/>
  <c r="F140" i="1" s="1"/>
  <c r="D9" i="1"/>
  <c r="C9" i="1"/>
  <c r="B8" i="1"/>
  <c r="B7" i="1"/>
  <c r="B75" i="1" s="1"/>
  <c r="D141" i="3"/>
  <c r="F140" i="3"/>
  <c r="E140" i="3"/>
  <c r="D140" i="3"/>
  <c r="D137" i="3"/>
  <c r="D131" i="3"/>
  <c r="B121" i="3"/>
  <c r="B112" i="3"/>
  <c r="D103" i="3"/>
  <c r="F102" i="3"/>
  <c r="E102" i="3"/>
  <c r="D102" i="3"/>
  <c r="F101" i="3"/>
  <c r="D101" i="3"/>
  <c r="D99" i="3"/>
  <c r="D93" i="3"/>
  <c r="D65" i="3"/>
  <c r="F64" i="3"/>
  <c r="E64" i="3"/>
  <c r="D64" i="3"/>
  <c r="E61" i="3"/>
  <c r="D61" i="3"/>
  <c r="D55" i="3"/>
  <c r="D27" i="3"/>
  <c r="F26" i="3"/>
  <c r="E26" i="3"/>
  <c r="D26" i="3"/>
  <c r="D23" i="3"/>
  <c r="F22" i="3"/>
  <c r="D22" i="3"/>
  <c r="B19" i="3"/>
  <c r="D17" i="3"/>
  <c r="F17" i="3" s="1"/>
  <c r="C8" i="3"/>
  <c r="B7" i="3"/>
  <c r="F105" i="2"/>
  <c r="E105" i="2"/>
  <c r="D105" i="2"/>
  <c r="E104" i="2"/>
  <c r="E108" i="2" s="1"/>
  <c r="D104" i="2"/>
  <c r="F104" i="2" s="1"/>
  <c r="D97" i="2"/>
  <c r="E67" i="2"/>
  <c r="E64" i="2"/>
  <c r="D64" i="2"/>
  <c r="F64" i="2" s="1"/>
  <c r="E63" i="2"/>
  <c r="D63" i="2"/>
  <c r="F63" i="2" s="1"/>
  <c r="D56" i="2"/>
  <c r="F56" i="2" s="1"/>
  <c r="B26" i="2"/>
  <c r="F25" i="2"/>
  <c r="E25" i="2"/>
  <c r="D25" i="2"/>
  <c r="E24" i="2"/>
  <c r="D24" i="2"/>
  <c r="F24" i="2" s="1"/>
  <c r="B20" i="2"/>
  <c r="D20" i="2" s="1"/>
  <c r="F20" i="2" s="1"/>
  <c r="B19" i="2"/>
  <c r="D17" i="2"/>
  <c r="F17" i="2" s="1"/>
  <c r="C10" i="2"/>
  <c r="B7" i="2"/>
  <c r="B10" i="2" s="1"/>
  <c r="B11" i="2" s="1"/>
  <c r="C18" i="2" l="1"/>
  <c r="C57" i="2"/>
  <c r="C98" i="2"/>
  <c r="F55" i="3"/>
  <c r="F197" i="1"/>
  <c r="B21" i="2"/>
  <c r="D19" i="2"/>
  <c r="F19" i="2" s="1"/>
  <c r="B20" i="3"/>
  <c r="D19" i="3"/>
  <c r="F19" i="3" s="1"/>
  <c r="B33" i="2"/>
  <c r="B27" i="2"/>
  <c r="D26" i="2"/>
  <c r="F26" i="2" s="1"/>
  <c r="F97" i="2"/>
  <c r="B95" i="3"/>
  <c r="B135" i="3"/>
  <c r="D135" i="3" s="1"/>
  <c r="F135" i="3" s="1"/>
  <c r="B83" i="3"/>
  <c r="B159" i="3"/>
  <c r="B57" i="3"/>
  <c r="B45" i="3"/>
  <c r="B10" i="3"/>
  <c r="B133" i="3"/>
  <c r="B129" i="2"/>
  <c r="B58" i="2"/>
  <c r="B99" i="2"/>
  <c r="B47" i="2"/>
  <c r="B88" i="2"/>
  <c r="F61" i="3"/>
  <c r="D75" i="1"/>
  <c r="F75" i="1" s="1"/>
  <c r="B132" i="1"/>
  <c r="B224" i="1"/>
  <c r="E28" i="2"/>
  <c r="E99" i="3"/>
  <c r="B47" i="3"/>
  <c r="B123" i="3"/>
  <c r="C136" i="3"/>
  <c r="D136" i="3" s="1"/>
  <c r="F136" i="3" s="1"/>
  <c r="B133" i="1"/>
  <c r="D133" i="1" s="1"/>
  <c r="F133" i="1" s="1"/>
  <c r="B30" i="1"/>
  <c r="F18" i="1"/>
  <c r="D200" i="1"/>
  <c r="F200" i="1" s="1"/>
  <c r="F93" i="3"/>
  <c r="E137" i="1"/>
  <c r="C12" i="1"/>
  <c r="B65" i="1"/>
  <c r="E25" i="1"/>
  <c r="E197" i="1"/>
  <c r="C207" i="1"/>
  <c r="C10" i="3"/>
  <c r="E36" i="1"/>
  <c r="F36" i="1" s="1"/>
  <c r="B34" i="1"/>
  <c r="D34" i="1" s="1"/>
  <c r="F34" i="1" s="1"/>
  <c r="B23" i="1"/>
  <c r="D23" i="1" s="1"/>
  <c r="F23" i="1" s="1"/>
  <c r="B142" i="1"/>
  <c r="F187" i="1"/>
  <c r="E194" i="1"/>
  <c r="C203" i="1"/>
  <c r="D203" i="1" s="1"/>
  <c r="F203" i="1" s="1"/>
  <c r="C226" i="1"/>
  <c r="D226" i="1" s="1"/>
  <c r="B189" i="1"/>
  <c r="B20" i="1"/>
  <c r="B12" i="1"/>
  <c r="B234" i="1"/>
  <c r="F137" i="3"/>
  <c r="B236" i="1"/>
  <c r="B21" i="3"/>
  <c r="D21" i="3" s="1"/>
  <c r="F21" i="3" s="1"/>
  <c r="E23" i="3"/>
  <c r="F131" i="3"/>
  <c r="E137" i="3"/>
  <c r="B161" i="3"/>
  <c r="E39" i="1"/>
  <c r="F39" i="1" s="1"/>
  <c r="B206" i="1"/>
  <c r="E151" i="1"/>
  <c r="F151" i="1" s="1"/>
  <c r="E91" i="1"/>
  <c r="F91" i="1" s="1"/>
  <c r="B120" i="1"/>
  <c r="E148" i="1"/>
  <c r="F148" i="1" s="1"/>
  <c r="B177" i="1"/>
  <c r="B195" i="1"/>
  <c r="B63" i="1"/>
  <c r="B85" i="3"/>
  <c r="D12" i="1"/>
  <c r="B21" i="1"/>
  <c r="D21" i="1" s="1"/>
  <c r="F21" i="1" s="1"/>
  <c r="F83" i="1"/>
  <c r="C192" i="1"/>
  <c r="D192" i="1" s="1"/>
  <c r="F192" i="1" s="1"/>
  <c r="E208" i="1"/>
  <c r="F208" i="1" s="1"/>
  <c r="F99" i="3" l="1"/>
  <c r="F23" i="3"/>
  <c r="B46" i="3"/>
  <c r="B48" i="3" s="1"/>
  <c r="B49" i="3" s="1"/>
  <c r="D30" i="1"/>
  <c r="F30" i="1" s="1"/>
  <c r="B49" i="1"/>
  <c r="B31" i="1"/>
  <c r="D95" i="3"/>
  <c r="F95" i="3" s="1"/>
  <c r="B96" i="3"/>
  <c r="B48" i="2"/>
  <c r="F194" i="1"/>
  <c r="E198" i="1"/>
  <c r="F198" i="1" s="1"/>
  <c r="E29" i="1"/>
  <c r="F29" i="1" s="1"/>
  <c r="E141" i="1"/>
  <c r="F141" i="1" s="1"/>
  <c r="E84" i="1"/>
  <c r="B50" i="2"/>
  <c r="D133" i="3"/>
  <c r="F133" i="3" s="1"/>
  <c r="B134" i="3"/>
  <c r="D142" i="1"/>
  <c r="F142" i="1" s="1"/>
  <c r="B143" i="1"/>
  <c r="B163" i="1"/>
  <c r="B153" i="1"/>
  <c r="C224" i="1"/>
  <c r="C227" i="1" s="1"/>
  <c r="D207" i="1"/>
  <c r="F207" i="1" s="1"/>
  <c r="E144" i="1"/>
  <c r="F137" i="1"/>
  <c r="D99" i="2"/>
  <c r="F99" i="2" s="1"/>
  <c r="B11" i="3"/>
  <c r="E95" i="1"/>
  <c r="F95" i="1" s="1"/>
  <c r="E209" i="1"/>
  <c r="F209" i="1" s="1"/>
  <c r="E152" i="1"/>
  <c r="F152" i="1" s="1"/>
  <c r="E40" i="1"/>
  <c r="F40" i="1" s="1"/>
  <c r="E103" i="3"/>
  <c r="F103" i="3" s="1"/>
  <c r="E65" i="3"/>
  <c r="E141" i="3"/>
  <c r="F141" i="3" s="1"/>
  <c r="E27" i="3"/>
  <c r="F27" i="3" s="1"/>
  <c r="D20" i="1"/>
  <c r="F20" i="1" s="1"/>
  <c r="B22" i="1"/>
  <c r="B134" i="1"/>
  <c r="D132" i="1"/>
  <c r="F132" i="1" s="1"/>
  <c r="H61" i="2"/>
  <c r="D58" i="2"/>
  <c r="F58" i="2" s="1"/>
  <c r="B120" i="2"/>
  <c r="D98" i="2"/>
  <c r="C100" i="2"/>
  <c r="B100" i="2" s="1"/>
  <c r="B13" i="1"/>
  <c r="D195" i="1"/>
  <c r="F195" i="1" s="1"/>
  <c r="B219" i="1"/>
  <c r="D189" i="1"/>
  <c r="F189" i="1" s="1"/>
  <c r="B191" i="1"/>
  <c r="B201" i="1" s="1"/>
  <c r="B58" i="3"/>
  <c r="D57" i="3"/>
  <c r="F57" i="3" s="1"/>
  <c r="D27" i="2"/>
  <c r="F27" i="2" s="1"/>
  <c r="B39" i="2"/>
  <c r="B79" i="2"/>
  <c r="I61" i="2"/>
  <c r="D57" i="2"/>
  <c r="D206" i="1"/>
  <c r="F206" i="1" s="1"/>
  <c r="C219" i="1"/>
  <c r="C221" i="1" s="1"/>
  <c r="E142" i="3"/>
  <c r="B41" i="1"/>
  <c r="F25" i="1"/>
  <c r="D18" i="2"/>
  <c r="B38" i="2"/>
  <c r="C21" i="2"/>
  <c r="B202" i="1" l="1"/>
  <c r="B106" i="2"/>
  <c r="D100" i="2"/>
  <c r="F100" i="2" s="1"/>
  <c r="F98" i="2"/>
  <c r="B101" i="2"/>
  <c r="B154" i="1"/>
  <c r="C163" i="1"/>
  <c r="D153" i="1"/>
  <c r="F153" i="1" s="1"/>
  <c r="B160" i="3"/>
  <c r="B162" i="3" s="1"/>
  <c r="B163" i="3" s="1"/>
  <c r="B61" i="2"/>
  <c r="B59" i="2"/>
  <c r="F18" i="2"/>
  <c r="D163" i="1"/>
  <c r="D143" i="1"/>
  <c r="F143" i="1" s="1"/>
  <c r="B169" i="1"/>
  <c r="C101" i="2"/>
  <c r="D224" i="1"/>
  <c r="E201" i="1"/>
  <c r="E212" i="1" s="1"/>
  <c r="B122" i="3"/>
  <c r="B124" i="3" s="1"/>
  <c r="B125" i="3" s="1"/>
  <c r="D219" i="1"/>
  <c r="D221" i="1" s="1"/>
  <c r="B221" i="1"/>
  <c r="F57" i="2"/>
  <c r="D21" i="2"/>
  <c r="F21" i="2" s="1"/>
  <c r="B43" i="2" s="1"/>
  <c r="E104" i="3"/>
  <c r="C229" i="1"/>
  <c r="B84" i="3"/>
  <c r="B86" i="3" s="1"/>
  <c r="B87" i="3" s="1"/>
  <c r="C131" i="1"/>
  <c r="C188" i="1"/>
  <c r="C19" i="1"/>
  <c r="C74" i="1"/>
  <c r="C18" i="3"/>
  <c r="C132" i="3"/>
  <c r="C94" i="3"/>
  <c r="C56" i="3"/>
  <c r="E155" i="1"/>
  <c r="F84" i="1"/>
  <c r="E87" i="1"/>
  <c r="E98" i="1" s="1"/>
  <c r="B55" i="1"/>
  <c r="D31" i="1"/>
  <c r="F31" i="1" s="1"/>
  <c r="E28" i="3"/>
  <c r="B235" i="1"/>
  <c r="B237" i="1" s="1"/>
  <c r="B238" i="1" s="1"/>
  <c r="C62" i="2"/>
  <c r="C59" i="2"/>
  <c r="B42" i="1"/>
  <c r="C49" i="1"/>
  <c r="D49" i="1" s="1"/>
  <c r="D41" i="1"/>
  <c r="F41" i="1" s="1"/>
  <c r="F65" i="3"/>
  <c r="E66" i="3"/>
  <c r="E32" i="1"/>
  <c r="E43" i="1" s="1"/>
  <c r="C22" i="1" l="1"/>
  <c r="D22" i="1" s="1"/>
  <c r="F22" i="1" s="1"/>
  <c r="B59" i="1" s="1"/>
  <c r="B54" i="1"/>
  <c r="D54" i="1" s="1"/>
  <c r="D19" i="1"/>
  <c r="I23" i="1"/>
  <c r="C27" i="1" s="1"/>
  <c r="B111" i="1"/>
  <c r="D111" i="1" s="1"/>
  <c r="I78" i="1"/>
  <c r="D74" i="1"/>
  <c r="B75" i="3"/>
  <c r="D56" i="3"/>
  <c r="C58" i="3"/>
  <c r="D58" i="3" s="1"/>
  <c r="F58" i="3" s="1"/>
  <c r="B79" i="3" s="1"/>
  <c r="I59" i="3"/>
  <c r="C191" i="1"/>
  <c r="D191" i="1" s="1"/>
  <c r="F191" i="1" s="1"/>
  <c r="B230" i="1" s="1"/>
  <c r="B225" i="1"/>
  <c r="D188" i="1"/>
  <c r="C201" i="1"/>
  <c r="D106" i="2"/>
  <c r="F106" i="2" s="1"/>
  <c r="B107" i="2"/>
  <c r="B115" i="2"/>
  <c r="B113" i="3"/>
  <c r="B114" i="3" s="1"/>
  <c r="D94" i="3"/>
  <c r="C96" i="3"/>
  <c r="D96" i="3" s="1"/>
  <c r="F96" i="3" s="1"/>
  <c r="B117" i="3" s="1"/>
  <c r="D131" i="1"/>
  <c r="C134" i="1"/>
  <c r="D134" i="1" s="1"/>
  <c r="F134" i="1" s="1"/>
  <c r="B173" i="1" s="1"/>
  <c r="C136" i="1"/>
  <c r="B168" i="1"/>
  <c r="D168" i="1" s="1"/>
  <c r="C55" i="1"/>
  <c r="D42" i="1"/>
  <c r="F42" i="1" s="1"/>
  <c r="C134" i="3"/>
  <c r="D134" i="3" s="1"/>
  <c r="F134" i="3" s="1"/>
  <c r="B155" i="3" s="1"/>
  <c r="B151" i="3"/>
  <c r="D132" i="3"/>
  <c r="C238" i="1"/>
  <c r="C237" i="1"/>
  <c r="B212" i="1"/>
  <c r="C60" i="2"/>
  <c r="C67" i="2"/>
  <c r="B37" i="3"/>
  <c r="C20" i="3"/>
  <c r="D20" i="3" s="1"/>
  <c r="F20" i="3" s="1"/>
  <c r="B41" i="3" s="1"/>
  <c r="D18" i="3"/>
  <c r="H22" i="2"/>
  <c r="B22" i="2" s="1"/>
  <c r="D154" i="1"/>
  <c r="F154" i="1" s="1"/>
  <c r="C169" i="1"/>
  <c r="D169" i="1" s="1"/>
  <c r="D62" i="2"/>
  <c r="F62" i="2" s="1"/>
  <c r="B78" i="2"/>
  <c r="D55" i="1"/>
  <c r="D59" i="2"/>
  <c r="B65" i="2"/>
  <c r="B60" i="2"/>
  <c r="D101" i="2"/>
  <c r="F101" i="2" s="1"/>
  <c r="B125" i="2" s="1"/>
  <c r="B130" i="2"/>
  <c r="B132" i="2" s="1"/>
  <c r="I22" i="2"/>
  <c r="C23" i="2" s="1"/>
  <c r="B73" i="2"/>
  <c r="D61" i="2"/>
  <c r="F61" i="2" s="1"/>
  <c r="B89" i="2" l="1"/>
  <c r="B91" i="2" s="1"/>
  <c r="D60" i="2"/>
  <c r="F60" i="2" s="1"/>
  <c r="B84" i="2" s="1"/>
  <c r="C82" i="1"/>
  <c r="C76" i="1"/>
  <c r="C79" i="1"/>
  <c r="D79" i="1" s="1"/>
  <c r="F79" i="1" s="1"/>
  <c r="F56" i="3"/>
  <c r="H59" i="3"/>
  <c r="D27" i="1"/>
  <c r="F27" i="1" s="1"/>
  <c r="B53" i="1"/>
  <c r="F94" i="3"/>
  <c r="F19" i="1"/>
  <c r="H23" i="1"/>
  <c r="B26" i="1" s="1"/>
  <c r="C63" i="3"/>
  <c r="C60" i="3"/>
  <c r="D60" i="3" s="1"/>
  <c r="F60" i="3" s="1"/>
  <c r="B74" i="2"/>
  <c r="B66" i="2"/>
  <c r="B67" i="2" s="1"/>
  <c r="D65" i="2"/>
  <c r="F65" i="2" s="1"/>
  <c r="B75" i="2"/>
  <c r="F59" i="2"/>
  <c r="H102" i="2"/>
  <c r="B102" i="2" s="1"/>
  <c r="D22" i="2"/>
  <c r="B32" i="2"/>
  <c r="B34" i="2" s="1"/>
  <c r="B28" i="2"/>
  <c r="C202" i="1"/>
  <c r="D202" i="1" s="1"/>
  <c r="F202" i="1" s="1"/>
  <c r="C230" i="1" s="1"/>
  <c r="C231" i="1" s="1"/>
  <c r="F131" i="1"/>
  <c r="D23" i="2"/>
  <c r="F23" i="2" s="1"/>
  <c r="B37" i="2"/>
  <c r="B40" i="2" s="1"/>
  <c r="C28" i="2"/>
  <c r="C28" i="3"/>
  <c r="F188" i="1"/>
  <c r="F201" i="1" s="1"/>
  <c r="D201" i="1"/>
  <c r="B121" i="2"/>
  <c r="D107" i="2"/>
  <c r="F107" i="2" s="1"/>
  <c r="F132" i="3"/>
  <c r="I21" i="3"/>
  <c r="C25" i="3" s="1"/>
  <c r="D136" i="1"/>
  <c r="F136" i="1" s="1"/>
  <c r="B135" i="1"/>
  <c r="C98" i="3"/>
  <c r="D225" i="1"/>
  <c r="D227" i="1" s="1"/>
  <c r="D229" i="1" s="1"/>
  <c r="B227" i="1"/>
  <c r="B229" i="1" s="1"/>
  <c r="B231" i="1" s="1"/>
  <c r="C32" i="1"/>
  <c r="F18" i="3"/>
  <c r="H21" i="3"/>
  <c r="B24" i="3" s="1"/>
  <c r="F74" i="1"/>
  <c r="H78" i="1"/>
  <c r="I102" i="2"/>
  <c r="C103" i="2" s="1"/>
  <c r="C212" i="1" l="1"/>
  <c r="C91" i="2"/>
  <c r="D98" i="3"/>
  <c r="F98" i="3" s="1"/>
  <c r="B97" i="3"/>
  <c r="C104" i="3"/>
  <c r="D230" i="1"/>
  <c r="D135" i="1"/>
  <c r="B144" i="1"/>
  <c r="H135" i="1"/>
  <c r="B138" i="1" s="1"/>
  <c r="D66" i="2"/>
  <c r="F66" i="2" s="1"/>
  <c r="B80" i="2"/>
  <c r="B81" i="2" s="1"/>
  <c r="B83" i="2" s="1"/>
  <c r="B85" i="2" s="1"/>
  <c r="D25" i="3"/>
  <c r="F25" i="3" s="1"/>
  <c r="B36" i="3"/>
  <c r="B38" i="3" s="1"/>
  <c r="F212" i="1"/>
  <c r="B42" i="2"/>
  <c r="B44" i="2" s="1"/>
  <c r="C50" i="2"/>
  <c r="C77" i="1"/>
  <c r="C87" i="1"/>
  <c r="B32" i="3"/>
  <c r="D24" i="3"/>
  <c r="B28" i="3"/>
  <c r="D212" i="1"/>
  <c r="B81" i="1"/>
  <c r="B76" i="1"/>
  <c r="B78" i="1"/>
  <c r="D78" i="1" s="1"/>
  <c r="F78" i="1" s="1"/>
  <c r="C33" i="1"/>
  <c r="F22" i="2"/>
  <c r="F28" i="2" s="1"/>
  <c r="D28" i="2"/>
  <c r="B56" i="1"/>
  <c r="D82" i="1"/>
  <c r="F82" i="1" s="1"/>
  <c r="B110" i="1"/>
  <c r="D63" i="3"/>
  <c r="F63" i="3" s="1"/>
  <c r="B74" i="3"/>
  <c r="B76" i="3" s="1"/>
  <c r="F67" i="2"/>
  <c r="D103" i="2"/>
  <c r="F103" i="2" s="1"/>
  <c r="B119" i="2"/>
  <c r="B122" i="2" s="1"/>
  <c r="C108" i="2"/>
  <c r="D231" i="1"/>
  <c r="C66" i="3"/>
  <c r="B114" i="2"/>
  <c r="B116" i="2" s="1"/>
  <c r="D102" i="2"/>
  <c r="B108" i="2"/>
  <c r="B48" i="1"/>
  <c r="D26" i="1"/>
  <c r="B32" i="1"/>
  <c r="B62" i="3"/>
  <c r="B59" i="3"/>
  <c r="C88" i="1" l="1"/>
  <c r="D97" i="3"/>
  <c r="H97" i="3"/>
  <c r="B100" i="3" s="1"/>
  <c r="F102" i="2"/>
  <c r="F108" i="2" s="1"/>
  <c r="D108" i="2"/>
  <c r="D76" i="1"/>
  <c r="B85" i="1"/>
  <c r="B96" i="1"/>
  <c r="B77" i="1"/>
  <c r="B50" i="1"/>
  <c r="B58" i="1" s="1"/>
  <c r="B60" i="1" s="1"/>
  <c r="B33" i="3"/>
  <c r="C48" i="3"/>
  <c r="C132" i="2"/>
  <c r="B124" i="2"/>
  <c r="B126" i="2" s="1"/>
  <c r="D81" i="1"/>
  <c r="F81" i="1" s="1"/>
  <c r="B105" i="1"/>
  <c r="B162" i="1"/>
  <c r="D138" i="1"/>
  <c r="F138" i="1" s="1"/>
  <c r="D67" i="2"/>
  <c r="F135" i="1"/>
  <c r="I135" i="1"/>
  <c r="C139" i="1" s="1"/>
  <c r="D59" i="3"/>
  <c r="B66" i="3"/>
  <c r="B70" i="3"/>
  <c r="D62" i="3"/>
  <c r="F62" i="3" s="1"/>
  <c r="B145" i="1"/>
  <c r="B33" i="1"/>
  <c r="F26" i="1"/>
  <c r="F32" i="1" s="1"/>
  <c r="D32" i="1"/>
  <c r="F24" i="3"/>
  <c r="F28" i="3" s="1"/>
  <c r="D28" i="3"/>
  <c r="D77" i="1" l="1"/>
  <c r="F77" i="1" s="1"/>
  <c r="B116" i="1" s="1"/>
  <c r="D100" i="3"/>
  <c r="F100" i="3" s="1"/>
  <c r="B108" i="3"/>
  <c r="C106" i="1"/>
  <c r="D96" i="1"/>
  <c r="F96" i="1" s="1"/>
  <c r="B97" i="1"/>
  <c r="B104" i="3"/>
  <c r="F59" i="3"/>
  <c r="F66" i="3" s="1"/>
  <c r="D66" i="3"/>
  <c r="B87" i="1"/>
  <c r="F97" i="3"/>
  <c r="F104" i="3" s="1"/>
  <c r="I135" i="3"/>
  <c r="C139" i="3" s="1"/>
  <c r="D104" i="3"/>
  <c r="H135" i="3"/>
  <c r="I97" i="3"/>
  <c r="B106" i="1"/>
  <c r="B86" i="1"/>
  <c r="D85" i="1"/>
  <c r="F85" i="1" s="1"/>
  <c r="B107" i="1"/>
  <c r="B167" i="1"/>
  <c r="D139" i="1"/>
  <c r="C144" i="1"/>
  <c r="F76" i="1"/>
  <c r="B164" i="1"/>
  <c r="D33" i="1"/>
  <c r="B64" i="1"/>
  <c r="B66" i="1" s="1"/>
  <c r="B67" i="1" s="1"/>
  <c r="C49" i="3"/>
  <c r="B40" i="3"/>
  <c r="B42" i="3" s="1"/>
  <c r="B178" i="1"/>
  <c r="B180" i="1" s="1"/>
  <c r="B181" i="1" s="1"/>
  <c r="C86" i="3"/>
  <c r="B71" i="3"/>
  <c r="B150" i="3" l="1"/>
  <c r="B152" i="3" s="1"/>
  <c r="C142" i="3"/>
  <c r="C124" i="3"/>
  <c r="B109" i="3"/>
  <c r="B172" i="1"/>
  <c r="B174" i="1" s="1"/>
  <c r="B88" i="1"/>
  <c r="D86" i="1"/>
  <c r="F86" i="1" s="1"/>
  <c r="F87" i="1" s="1"/>
  <c r="B112" i="1"/>
  <c r="B170" i="1"/>
  <c r="F33" i="1"/>
  <c r="H34" i="1"/>
  <c r="B37" i="1" s="1"/>
  <c r="D106" i="1"/>
  <c r="C145" i="1"/>
  <c r="D145" i="1" s="1"/>
  <c r="F145" i="1" s="1"/>
  <c r="C173" i="1" s="1"/>
  <c r="D173" i="1" s="1"/>
  <c r="I34" i="1"/>
  <c r="C38" i="1" s="1"/>
  <c r="C87" i="3"/>
  <c r="B78" i="3"/>
  <c r="B80" i="3" s="1"/>
  <c r="F139" i="1"/>
  <c r="F144" i="1" s="1"/>
  <c r="D144" i="1"/>
  <c r="B138" i="3"/>
  <c r="B139" i="3"/>
  <c r="D139" i="3" s="1"/>
  <c r="F139" i="3" s="1"/>
  <c r="C112" i="1"/>
  <c r="D97" i="1"/>
  <c r="F97" i="1" s="1"/>
  <c r="D138" i="3" l="1"/>
  <c r="B146" i="3"/>
  <c r="B142" i="3"/>
  <c r="C125" i="3"/>
  <c r="B116" i="3"/>
  <c r="B118" i="3" s="1"/>
  <c r="D88" i="1"/>
  <c r="F88" i="1" s="1"/>
  <c r="C116" i="1" s="1"/>
  <c r="D116" i="1" s="1"/>
  <c r="B121" i="1"/>
  <c r="B123" i="1" s="1"/>
  <c r="B124" i="1" s="1"/>
  <c r="D38" i="1"/>
  <c r="F38" i="1" s="1"/>
  <c r="C53" i="1"/>
  <c r="C43" i="1"/>
  <c r="C59" i="1"/>
  <c r="D59" i="1" s="1"/>
  <c r="D112" i="1"/>
  <c r="B113" i="1"/>
  <c r="B115" i="1" s="1"/>
  <c r="B117" i="1" s="1"/>
  <c r="D87" i="1"/>
  <c r="D37" i="1"/>
  <c r="C48" i="1"/>
  <c r="B43" i="1"/>
  <c r="H89" i="1"/>
  <c r="B92" i="1" l="1"/>
  <c r="B89" i="1"/>
  <c r="C56" i="1"/>
  <c r="D53" i="1"/>
  <c r="D56" i="1" s="1"/>
  <c r="B147" i="3"/>
  <c r="C162" i="3"/>
  <c r="C50" i="1"/>
  <c r="C58" i="1" s="1"/>
  <c r="C60" i="1" s="1"/>
  <c r="D48" i="1"/>
  <c r="D50" i="1" s="1"/>
  <c r="F138" i="3"/>
  <c r="F142" i="3" s="1"/>
  <c r="D142" i="3"/>
  <c r="F37" i="1"/>
  <c r="F43" i="1" s="1"/>
  <c r="D43" i="1"/>
  <c r="I89" i="1"/>
  <c r="H146" i="1"/>
  <c r="I146" i="1"/>
  <c r="C147" i="1" l="1"/>
  <c r="C150" i="1"/>
  <c r="B149" i="1"/>
  <c r="B146" i="1"/>
  <c r="C67" i="1"/>
  <c r="D58" i="1"/>
  <c r="D60" i="1" s="1"/>
  <c r="C66" i="1"/>
  <c r="C93" i="1"/>
  <c r="C90" i="1"/>
  <c r="D89" i="1"/>
  <c r="B98" i="1"/>
  <c r="C163" i="3"/>
  <c r="B154" i="3"/>
  <c r="B156" i="3" s="1"/>
  <c r="C105" i="1"/>
  <c r="D92" i="1"/>
  <c r="F92" i="1" s="1"/>
  <c r="C107" i="1" l="1"/>
  <c r="D105" i="1"/>
  <c r="D107" i="1" s="1"/>
  <c r="D146" i="1"/>
  <c r="B155" i="1"/>
  <c r="C167" i="1"/>
  <c r="D150" i="1"/>
  <c r="F150" i="1" s="1"/>
  <c r="D93" i="1"/>
  <c r="F93" i="1" s="1"/>
  <c r="C110" i="1"/>
  <c r="C162" i="1"/>
  <c r="D149" i="1"/>
  <c r="F149" i="1" s="1"/>
  <c r="F89" i="1"/>
  <c r="D90" i="1"/>
  <c r="F90" i="1" s="1"/>
  <c r="C98" i="1"/>
  <c r="D147" i="1"/>
  <c r="F147" i="1" s="1"/>
  <c r="C155" i="1"/>
  <c r="C113" i="1" l="1"/>
  <c r="D110" i="1"/>
  <c r="D113" i="1" s="1"/>
  <c r="D98" i="1"/>
  <c r="F146" i="1"/>
  <c r="F155" i="1" s="1"/>
  <c r="D155" i="1"/>
  <c r="C124" i="1"/>
  <c r="C123" i="1"/>
  <c r="D115" i="1"/>
  <c r="D117" i="1" s="1"/>
  <c r="C170" i="1"/>
  <c r="D167" i="1"/>
  <c r="D170" i="1" s="1"/>
  <c r="F98" i="1"/>
  <c r="C164" i="1"/>
  <c r="C172" i="1" s="1"/>
  <c r="C174" i="1" s="1"/>
  <c r="D162" i="1"/>
  <c r="D164" i="1" s="1"/>
  <c r="C115" i="1"/>
  <c r="C117" i="1" s="1"/>
  <c r="C180" i="1" l="1"/>
  <c r="C181" i="1"/>
  <c r="D172" i="1"/>
  <c r="D174" i="1" s="1"/>
</calcChain>
</file>

<file path=xl/sharedStrings.xml><?xml version="1.0" encoding="utf-8"?>
<sst xmlns="http://schemas.openxmlformats.org/spreadsheetml/2006/main" count="564" uniqueCount="76">
  <si>
    <t>Background</t>
  </si>
  <si>
    <t>Year</t>
  </si>
  <si>
    <t>- Premium</t>
  </si>
  <si>
    <t>- IACF</t>
  </si>
  <si>
    <t>Discount rate</t>
  </si>
  <si>
    <t>PVCF</t>
  </si>
  <si>
    <t>Movement of insurance contract liabilities</t>
  </si>
  <si>
    <t>Year 0</t>
  </si>
  <si>
    <t>LRC</t>
  </si>
  <si>
    <t>LIC</t>
  </si>
  <si>
    <t>Total</t>
  </si>
  <si>
    <t>Initial recognition</t>
  </si>
  <si>
    <t>Insurance contract liabilities</t>
  </si>
  <si>
    <t>Premium received</t>
  </si>
  <si>
    <t>Release of expected claims - LRC (excluding LC)</t>
  </si>
  <si>
    <t>Release of expected claims - LC</t>
  </si>
  <si>
    <t>LRC (excluding LC)</t>
  </si>
  <si>
    <t>LC</t>
  </si>
  <si>
    <t>IACF paid</t>
  </si>
  <si>
    <t>Non-LC</t>
  </si>
  <si>
    <t>Incurrence of actual claims</t>
  </si>
  <si>
    <t>Year 1</t>
  </si>
  <si>
    <t>Recovery of IACF</t>
  </si>
  <si>
    <t>Amortisation of IACF</t>
  </si>
  <si>
    <t>Proportion for systematic allocation</t>
  </si>
  <si>
    <t>Insurance revenue</t>
  </si>
  <si>
    <t>- Recovery of IACF</t>
  </si>
  <si>
    <t>Income statement</t>
  </si>
  <si>
    <t>Insurance service expenses</t>
  </si>
  <si>
    <t>- Loss on onerous contracts</t>
  </si>
  <si>
    <t>- Amortisation of IACF</t>
  </si>
  <si>
    <t>Insurance service result</t>
  </si>
  <si>
    <r>
      <t>Recovery of IACF (</t>
    </r>
    <r>
      <rPr>
        <sz val="10"/>
        <color rgb="FF3333FF"/>
        <rFont val="Arial"/>
        <family val="2"/>
      </rPr>
      <t>note 1</t>
    </r>
    <r>
      <rPr>
        <sz val="10"/>
        <color theme="1"/>
        <rFont val="Arial"/>
        <family val="2"/>
      </rPr>
      <t>)</t>
    </r>
  </si>
  <si>
    <r>
      <t>Recovery of IACF (</t>
    </r>
    <r>
      <rPr>
        <sz val="10"/>
        <color rgb="FF3333FF"/>
        <rFont val="Arial"/>
        <family val="2"/>
      </rPr>
      <t>note 2</t>
    </r>
    <r>
      <rPr>
        <sz val="10"/>
        <color theme="1"/>
        <rFont val="Arial"/>
        <family val="2"/>
      </rPr>
      <t>)</t>
    </r>
  </si>
  <si>
    <t>Release of expected claims (NDIC) - LC</t>
  </si>
  <si>
    <t>Incurrence of actual claims (NDIC)</t>
  </si>
  <si>
    <t>Release of expected claims (NDIC) - LRC (excluding LC)</t>
  </si>
  <si>
    <t>Release of expected claims (non-NDIC) - LRC (excluding LC)</t>
  </si>
  <si>
    <t>Release of expected claims (non-NDIC) - LC</t>
  </si>
  <si>
    <t>Incurrence of actual claims (non-NDIC)</t>
  </si>
  <si>
    <t>- Release of expected claims and expenses</t>
  </si>
  <si>
    <t>- Incurrence of actual claims and expenses</t>
  </si>
  <si>
    <t>- Claims (NDIC)</t>
  </si>
  <si>
    <t>- Claims (non-NDIC) and expenses</t>
  </si>
  <si>
    <t>IFRS 17.B120 test</t>
  </si>
  <si>
    <t>Premium</t>
  </si>
  <si>
    <t>Financing effect of non-LC</t>
  </si>
  <si>
    <t>Investment component</t>
  </si>
  <si>
    <t>Proportion for systematic allocation of claims (non-NDIC) and expenses</t>
  </si>
  <si>
    <t>Insurance finance expenses</t>
  </si>
  <si>
    <t>Insurance finance (income)/expenses</t>
  </si>
  <si>
    <t>- Claims (non-NDIC)</t>
  </si>
  <si>
    <t>- Expenses</t>
  </si>
  <si>
    <t>Cash (inflows)/outflows</t>
  </si>
  <si>
    <t>Claims and expenses paid</t>
  </si>
  <si>
    <t>Year 2</t>
  </si>
  <si>
    <r>
      <rPr>
        <sz val="10"/>
        <color rgb="FF3333FF"/>
        <rFont val="Arial"/>
        <family val="2"/>
      </rPr>
      <t>Note 1</t>
    </r>
    <r>
      <rPr>
        <sz val="10"/>
        <color theme="1"/>
        <rFont val="Arial"/>
        <family val="2"/>
      </rPr>
      <t xml:space="preserve">:  As the IACF of $82 is allocated to the loss component, only the remaining IACF being $918 can be recovered by premium.  </t>
    </r>
  </si>
  <si>
    <r>
      <t>IACF paid (</t>
    </r>
    <r>
      <rPr>
        <sz val="10"/>
        <color rgb="FF3333FF"/>
        <rFont val="Arial"/>
        <family val="2"/>
      </rPr>
      <t>note 2</t>
    </r>
    <r>
      <rPr>
        <sz val="10"/>
        <color theme="1"/>
        <rFont val="Arial"/>
        <family val="2"/>
      </rPr>
      <t>)</t>
    </r>
  </si>
  <si>
    <r>
      <rPr>
        <sz val="10"/>
        <color rgb="FF3333FF"/>
        <rFont val="Arial"/>
        <family val="2"/>
      </rPr>
      <t>Note 2</t>
    </r>
    <r>
      <rPr>
        <sz val="10"/>
        <color theme="1"/>
        <rFont val="Arial"/>
        <family val="2"/>
      </rPr>
      <t xml:space="preserve">:  The LC is attributable solely to the investment component.  The IACF paid is allocated to non-LC.  </t>
    </r>
  </si>
  <si>
    <t>Proportion for systematic allocation of claims (non-NDIC), IACF and expenses</t>
  </si>
  <si>
    <t>View 1 - All IACF paid is allocated to non-LC</t>
  </si>
  <si>
    <t>View 2 - IACF paid is allocated between non-LC and LC based on the same proportion as used for allocation of other cash flows</t>
  </si>
  <si>
    <t>View 3 - IACF paid is first allocated to LC and the remaining amount is allocated to non-LC</t>
  </si>
  <si>
    <t>View 1 - All NDIC is allocated to non-LC</t>
  </si>
  <si>
    <t>View 2 - NDIC is allocated between non-LC and LC based on the same proportion as used for allocation of other cash flows</t>
  </si>
  <si>
    <t>View 2 - IACF paid and NDIC are allocated between non-LC and LC based on the same proportion as used for allocation of other cash flows</t>
  </si>
  <si>
    <t>View 1 - All IACF paid and NDIC are allocated to non-LC</t>
  </si>
  <si>
    <r>
      <t>Recovery of IACF (</t>
    </r>
    <r>
      <rPr>
        <sz val="10"/>
        <color rgb="FF3333FF"/>
        <rFont val="Arial"/>
        <family val="2"/>
      </rPr>
      <t>note 3</t>
    </r>
    <r>
      <rPr>
        <sz val="10"/>
        <color theme="1"/>
        <rFont val="Arial"/>
        <family val="2"/>
      </rPr>
      <t>)</t>
    </r>
  </si>
  <si>
    <t>View 4 - Non-NDIC claims and expenses are first allocated to LC.  Remaining LC is absorbed by NDIC</t>
  </si>
  <si>
    <r>
      <rPr>
        <sz val="10"/>
        <color rgb="FF3333FF"/>
        <rFont val="Arial"/>
        <family val="2"/>
      </rPr>
      <t>Note 3</t>
    </r>
    <r>
      <rPr>
        <sz val="10"/>
        <color theme="1"/>
        <rFont val="Arial"/>
        <family val="2"/>
      </rPr>
      <t xml:space="preserve">:  As all IACF is allocated to the loss component, none can be recovered by premium.  </t>
    </r>
  </si>
  <si>
    <t>Insurance revenue, subject to a floor of zero</t>
  </si>
  <si>
    <t>View 4 - IACF paid, non-NDIC claims and expenses are first allocated to LC.  Remaining LC is absorbed by NDIC</t>
  </si>
  <si>
    <t>View 3 - NDIC, followed by IACF paid, is first allocated to LC and the remaining amount is allocated to non-LC</t>
  </si>
  <si>
    <t>View 3 - NDIC is first allocated to LC and the remaining amount is allocated to non-LC</t>
  </si>
  <si>
    <r>
      <rPr>
        <sz val="10"/>
        <color rgb="FF3333FF"/>
        <rFont val="Arial"/>
        <family val="2"/>
      </rPr>
      <t>Note 1</t>
    </r>
    <r>
      <rPr>
        <sz val="10"/>
        <color theme="1"/>
        <rFont val="Arial"/>
        <family val="2"/>
      </rPr>
      <t xml:space="preserve">:  As the IACF of $14,984 is allocated to the loss component, only the remaining IACF being $36,016 can be recovered by premium.  </t>
    </r>
  </si>
  <si>
    <r>
      <rPr>
        <sz val="10"/>
        <color rgb="FF3333FF"/>
        <rFont val="Arial"/>
        <family val="2"/>
      </rPr>
      <t>Note 2</t>
    </r>
    <r>
      <rPr>
        <sz val="10"/>
        <color theme="1"/>
        <rFont val="Arial"/>
        <family val="2"/>
      </rPr>
      <t xml:space="preserve">:  As the IACF of $20,802 is allocated to the loss component, only the remaining IACF being $30,198 can be recovered by premium.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</si>
</sst>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;\(#,##0\);\-_)"/>
    <numFmt numFmtId="165" formatCode="0.0%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3333FF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quotePrefix="1"/>
    <xf numFmtId="164" fontId="0" fillId="0" borderId="0" xfId="0" applyNumberFormat="1"/>
    <xf numFmtId="164" fontId="0" fillId="0" borderId="1" xfId="0" applyNumberFormat="1" applyBorder="1"/>
    <xf numFmtId="9" fontId="0" fillId="0" borderId="0" xfId="0" applyNumberFormat="1"/>
    <xf numFmtId="0" fontId="0" fillId="0" borderId="0" xfId="0" applyAlignment="1">
      <alignment wrapText="1"/>
    </xf>
    <xf numFmtId="165" fontId="0" fillId="0" borderId="0" xfId="1" applyNumberFormat="1" applyFont="1"/>
    <xf numFmtId="0" fontId="3" fillId="0" borderId="0" xfId="0" applyFont="1"/>
    <xf numFmtId="0" fontId="0" fillId="0" borderId="0" xfId="0" applyAlignment="1"/>
    <xf numFmtId="0" fontId="0" fillId="0" borderId="1" xfId="0" applyBorder="1"/>
    <xf numFmtId="164" fontId="0" fillId="0" borderId="0" xfId="0" applyNumberFormat="1" applyBorder="1"/>
    <xf numFmtId="0" fontId="0" fillId="0" borderId="0" xfId="0" applyFill="1"/>
    <xf numFmtId="165" fontId="0" fillId="0" borderId="0" xfId="1" applyNumberFormat="1" applyFont="1" applyFill="1"/>
    <xf numFmtId="0" fontId="0" fillId="0" borderId="0" xfId="0" applyFont="1"/>
    <xf numFmtId="164" fontId="0" fillId="0" borderId="0" xfId="0" applyNumberFormat="1" applyFill="1"/>
    <xf numFmtId="164" fontId="0" fillId="0" borderId="0" xfId="0" applyNumberFormat="1" applyFill="1" applyBorder="1"/>
    <xf numFmtId="164" fontId="0" fillId="0" borderId="1" xfId="0" applyNumberFormat="1" applyFill="1" applyBorder="1"/>
    <xf numFmtId="9" fontId="0" fillId="0" borderId="0" xfId="0" applyNumberFormat="1" applyFill="1"/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right"/>
    </xf>
    <xf numFmtId="0" fontId="0" fillId="0" borderId="1" xfId="0" applyFill="1" applyBorder="1"/>
    <xf numFmtId="0" fontId="5" fillId="0" borderId="0" xfId="0" applyFont="1"/>
    <xf numFmtId="0" fontId="3" fillId="0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470648</xdr:colOff>
      <xdr:row>0</xdr:row>
      <xdr:rowOff>141942</xdr:rowOff>
    </xdr:from>
    <xdr:to>
      <xdr:col>6</xdr:col>
      <xdr:colOff>552824</xdr:colOff>
      <xdr:row>4</xdr:row>
      <xdr:rowOff>112059</xdr:rowOff>
    </xdr:to>
    <xdr:sp macro="" textlink="">
      <xdr:nvSpPr>
        <xdr:cNvPr id="2" name="TextBox 1"/>
        <xdr:cNvSpPr txBox="1"/>
      </xdr:nvSpPr>
      <xdr:spPr>
        <a:xfrm>
          <a:off x="5057589" y="141942"/>
          <a:ext cx="2480235" cy="605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Worksheets</a:t>
          </a:r>
          <a:r>
            <a:rPr lang="en-US" sz="1100" b="1" baseline="0"/>
            <a:t> prepared by the submitter for illustration purposes only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82550</xdr:rowOff>
    </xdr:from>
    <xdr:to>
      <xdr:col>6</xdr:col>
      <xdr:colOff>137085</xdr:colOff>
      <xdr:row>4</xdr:row>
      <xdr:rowOff>46317</xdr:rowOff>
    </xdr:to>
    <xdr:sp macro="" textlink="">
      <xdr:nvSpPr>
        <xdr:cNvPr id="2" name="TextBox 1"/>
        <xdr:cNvSpPr txBox="1"/>
      </xdr:nvSpPr>
      <xdr:spPr>
        <a:xfrm>
          <a:off x="5372100" y="82550"/>
          <a:ext cx="2480235" cy="605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Worksheets</a:t>
          </a:r>
          <a:r>
            <a:rPr lang="en-US" sz="1100" b="1" baseline="0"/>
            <a:t> prepared by the submitter for illustration purposes only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431800</xdr:colOff>
      <xdr:row>0</xdr:row>
      <xdr:rowOff>107950</xdr:rowOff>
    </xdr:from>
    <xdr:to>
      <xdr:col>8</xdr:col>
      <xdr:colOff>473635</xdr:colOff>
      <xdr:row>4</xdr:row>
      <xdr:rowOff>71717</xdr:rowOff>
    </xdr:to>
    <xdr:sp macro="" textlink="">
      <xdr:nvSpPr>
        <xdr:cNvPr id="2" name="TextBox 1"/>
        <xdr:cNvSpPr txBox="1"/>
      </xdr:nvSpPr>
      <xdr:spPr>
        <a:xfrm>
          <a:off x="7207250" y="107950"/>
          <a:ext cx="2480235" cy="605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Worksheets</a:t>
          </a:r>
          <a:r>
            <a:rPr lang="en-US" sz="1100" b="1" baseline="0"/>
            <a:t> prepared by the submitter for illustration purposes only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abSelected="1" zoomScale="85" zoomScaleNormal="85" workbookViewId="0">
      <selection activeCell="G27" sqref="G27"/>
    </sheetView>
  </sheetViews>
  <sheetFormatPr defaultRowHeight="12.5" x14ac:dyDescent="0.25"/>
  <cols>
    <col min="1" max="1" width="42.7265625" bestFit="1" customWidth="1"/>
    <col min="2" max="6" width="11.453125" customWidth="1"/>
  </cols>
  <sheetData>
    <row r="1" spans="1:6" ht="13" x14ac:dyDescent="0.3">
      <c r="A1" s="1" t="s">
        <v>0</v>
      </c>
    </row>
    <row r="3" spans="1:6" x14ac:dyDescent="0.25">
      <c r="A3" t="s">
        <v>4</v>
      </c>
      <c r="B3" s="5">
        <v>0.01</v>
      </c>
    </row>
    <row r="5" spans="1:6" x14ac:dyDescent="0.25">
      <c r="A5" t="s">
        <v>1</v>
      </c>
      <c r="B5">
        <v>0</v>
      </c>
      <c r="C5">
        <v>1</v>
      </c>
    </row>
    <row r="6" spans="1:6" x14ac:dyDescent="0.25">
      <c r="A6" t="s">
        <v>53</v>
      </c>
    </row>
    <row r="7" spans="1:6" x14ac:dyDescent="0.25">
      <c r="A7" s="2" t="s">
        <v>2</v>
      </c>
      <c r="B7" s="3">
        <f>-5000*10</f>
        <v>-50000</v>
      </c>
      <c r="C7" s="3"/>
    </row>
    <row r="8" spans="1:6" x14ac:dyDescent="0.25">
      <c r="A8" s="2" t="s">
        <v>3</v>
      </c>
      <c r="B8" s="3">
        <v>51000</v>
      </c>
      <c r="C8" s="3"/>
    </row>
    <row r="9" spans="1:6" x14ac:dyDescent="0.25">
      <c r="A9" s="2" t="s">
        <v>43</v>
      </c>
      <c r="B9" s="4"/>
      <c r="C9" s="4">
        <v>20000</v>
      </c>
    </row>
    <row r="10" spans="1:6" x14ac:dyDescent="0.25">
      <c r="B10" s="3">
        <f>SUM(B7:B9)</f>
        <v>1000</v>
      </c>
      <c r="C10" s="3">
        <f>SUM(C7:C9)</f>
        <v>20000</v>
      </c>
    </row>
    <row r="11" spans="1:6" x14ac:dyDescent="0.25">
      <c r="A11" t="s">
        <v>5</v>
      </c>
      <c r="B11" s="3">
        <f>NPV(B3,C10)+B10</f>
        <v>20801.980198019803</v>
      </c>
    </row>
    <row r="13" spans="1:6" ht="13" x14ac:dyDescent="0.3">
      <c r="A13" s="1" t="s">
        <v>60</v>
      </c>
    </row>
    <row r="14" spans="1:6" ht="13" x14ac:dyDescent="0.3">
      <c r="A14" s="1" t="s">
        <v>6</v>
      </c>
    </row>
    <row r="15" spans="1:6" ht="37.5" x14ac:dyDescent="0.25">
      <c r="B15" s="6" t="s">
        <v>19</v>
      </c>
      <c r="C15" s="6" t="s">
        <v>17</v>
      </c>
      <c r="D15" t="s">
        <v>8</v>
      </c>
      <c r="E15" t="s">
        <v>9</v>
      </c>
      <c r="F15" s="6" t="s">
        <v>12</v>
      </c>
    </row>
    <row r="16" spans="1:6" x14ac:dyDescent="0.25">
      <c r="B16" t="s">
        <v>5</v>
      </c>
      <c r="C16" t="s">
        <v>5</v>
      </c>
      <c r="D16" t="s">
        <v>10</v>
      </c>
      <c r="E16" t="s">
        <v>5</v>
      </c>
      <c r="F16" t="s">
        <v>10</v>
      </c>
    </row>
    <row r="17" spans="1:9" x14ac:dyDescent="0.25">
      <c r="A17" t="s">
        <v>7</v>
      </c>
      <c r="B17" s="15">
        <v>0</v>
      </c>
      <c r="C17" s="15">
        <v>0</v>
      </c>
      <c r="D17" s="15">
        <f t="shared" ref="D17:D27" si="0">SUM(B17:C17)</f>
        <v>0</v>
      </c>
      <c r="E17" s="15">
        <v>0</v>
      </c>
      <c r="F17" s="3">
        <f>SUM(D17:E17)</f>
        <v>0</v>
      </c>
    </row>
    <row r="18" spans="1:9" x14ac:dyDescent="0.25">
      <c r="A18" t="s">
        <v>11</v>
      </c>
      <c r="B18" s="15">
        <v>0</v>
      </c>
      <c r="C18" s="15">
        <f>$B$11</f>
        <v>20801.980198019803</v>
      </c>
      <c r="D18" s="15">
        <f t="shared" si="0"/>
        <v>20801.980198019803</v>
      </c>
      <c r="E18" s="15">
        <v>0</v>
      </c>
      <c r="F18" s="3">
        <f t="shared" ref="F18:F22" si="1">SUM(D18:E18)</f>
        <v>20801.980198019803</v>
      </c>
    </row>
    <row r="19" spans="1:9" x14ac:dyDescent="0.25">
      <c r="A19" t="s">
        <v>13</v>
      </c>
      <c r="B19" s="15">
        <f>-$B$7</f>
        <v>50000</v>
      </c>
      <c r="C19" s="15">
        <v>0</v>
      </c>
      <c r="D19" s="15">
        <f t="shared" si="0"/>
        <v>50000</v>
      </c>
      <c r="E19" s="15">
        <v>0</v>
      </c>
      <c r="F19" s="3">
        <f t="shared" si="1"/>
        <v>50000</v>
      </c>
    </row>
    <row r="20" spans="1:9" x14ac:dyDescent="0.25">
      <c r="A20" t="s">
        <v>18</v>
      </c>
      <c r="B20" s="15">
        <f>-$B$8</f>
        <v>-51000</v>
      </c>
      <c r="C20" s="15">
        <v>0</v>
      </c>
      <c r="D20" s="15">
        <f t="shared" si="0"/>
        <v>-51000</v>
      </c>
      <c r="E20" s="15">
        <v>0</v>
      </c>
      <c r="F20" s="3">
        <f t="shared" si="1"/>
        <v>-51000</v>
      </c>
      <c r="H20" s="8" t="s">
        <v>24</v>
      </c>
    </row>
    <row r="21" spans="1:9" x14ac:dyDescent="0.25">
      <c r="A21" t="s">
        <v>50</v>
      </c>
      <c r="B21" s="15">
        <f>SUM(B17:B20)*$B$3</f>
        <v>-10</v>
      </c>
      <c r="C21" s="15">
        <f>SUM(C17:C20)*$B$3</f>
        <v>208.01980198019803</v>
      </c>
      <c r="D21" s="15">
        <f t="shared" si="0"/>
        <v>198.01980198019803</v>
      </c>
      <c r="E21" s="15">
        <v>0</v>
      </c>
      <c r="F21" s="3">
        <f t="shared" si="1"/>
        <v>198.01980198019803</v>
      </c>
      <c r="H21" s="9" t="s">
        <v>19</v>
      </c>
      <c r="I21" s="9" t="s">
        <v>17</v>
      </c>
    </row>
    <row r="22" spans="1:9" x14ac:dyDescent="0.25">
      <c r="A22" t="s">
        <v>14</v>
      </c>
      <c r="B22" s="15">
        <f>-$C$9*H22</f>
        <v>1010.0000000000003</v>
      </c>
      <c r="C22" s="15">
        <v>0</v>
      </c>
      <c r="D22" s="15">
        <f t="shared" si="0"/>
        <v>1010.0000000000003</v>
      </c>
      <c r="E22" s="15">
        <v>0</v>
      </c>
      <c r="F22" s="3">
        <f t="shared" si="1"/>
        <v>1010.0000000000003</v>
      </c>
      <c r="H22" s="7">
        <f>SUM(B17:B21)/SUM($D$17:$D$21)</f>
        <v>-5.0500000000000017E-2</v>
      </c>
      <c r="I22" s="7">
        <f>SUM(C17:C21)/SUM($D$17:$D$21)</f>
        <v>1.0505000000000004</v>
      </c>
    </row>
    <row r="23" spans="1:9" x14ac:dyDescent="0.25">
      <c r="A23" t="s">
        <v>15</v>
      </c>
      <c r="B23" s="15">
        <v>0</v>
      </c>
      <c r="C23" s="15">
        <f>-$C$9*I22</f>
        <v>-21010.000000000007</v>
      </c>
      <c r="D23" s="15">
        <f t="shared" si="0"/>
        <v>-21010.000000000007</v>
      </c>
      <c r="E23" s="15">
        <v>0</v>
      </c>
      <c r="F23" s="3">
        <f t="shared" ref="F23:F27" si="2">SUM(D23:E23)</f>
        <v>-21010.000000000007</v>
      </c>
    </row>
    <row r="24" spans="1:9" x14ac:dyDescent="0.25">
      <c r="A24" t="s">
        <v>20</v>
      </c>
      <c r="B24" s="15">
        <v>0</v>
      </c>
      <c r="C24" s="15">
        <v>0</v>
      </c>
      <c r="D24" s="15">
        <f t="shared" si="0"/>
        <v>0</v>
      </c>
      <c r="E24" s="15">
        <f>$C$9</f>
        <v>20000</v>
      </c>
      <c r="F24" s="3">
        <f t="shared" si="2"/>
        <v>20000</v>
      </c>
    </row>
    <row r="25" spans="1:9" x14ac:dyDescent="0.25">
      <c r="A25" t="s">
        <v>54</v>
      </c>
      <c r="B25" s="15">
        <v>0</v>
      </c>
      <c r="C25" s="15">
        <v>0</v>
      </c>
      <c r="D25" s="15">
        <f t="shared" si="0"/>
        <v>0</v>
      </c>
      <c r="E25" s="15">
        <f>-$C$9</f>
        <v>-20000</v>
      </c>
      <c r="F25" s="3">
        <f t="shared" si="2"/>
        <v>-20000</v>
      </c>
    </row>
    <row r="26" spans="1:9" x14ac:dyDescent="0.25">
      <c r="A26" t="s">
        <v>22</v>
      </c>
      <c r="B26" s="15">
        <f>-$B$8</f>
        <v>-51000</v>
      </c>
      <c r="C26" s="15">
        <v>0</v>
      </c>
      <c r="D26" s="15">
        <f t="shared" si="0"/>
        <v>-51000</v>
      </c>
      <c r="E26" s="15">
        <v>0</v>
      </c>
      <c r="F26" s="3">
        <f t="shared" si="2"/>
        <v>-51000</v>
      </c>
    </row>
    <row r="27" spans="1:9" x14ac:dyDescent="0.25">
      <c r="A27" t="s">
        <v>23</v>
      </c>
      <c r="B27" s="17">
        <f>-B26</f>
        <v>51000</v>
      </c>
      <c r="C27" s="17">
        <v>0</v>
      </c>
      <c r="D27" s="17">
        <f t="shared" si="0"/>
        <v>51000</v>
      </c>
      <c r="E27" s="17">
        <v>0</v>
      </c>
      <c r="F27" s="4">
        <f t="shared" si="2"/>
        <v>51000</v>
      </c>
    </row>
    <row r="28" spans="1:9" x14ac:dyDescent="0.25">
      <c r="A28" t="s">
        <v>21</v>
      </c>
      <c r="B28" s="15">
        <f>SUM(B17:B27)</f>
        <v>0</v>
      </c>
      <c r="C28" s="15">
        <f>SUM(C17:C27)</f>
        <v>-7.2759576141834259E-12</v>
      </c>
      <c r="D28" s="15">
        <f>SUM(D17:D27)</f>
        <v>0</v>
      </c>
      <c r="E28" s="15">
        <f>SUM(E17:E27)</f>
        <v>0</v>
      </c>
      <c r="F28" s="3">
        <f>SUM(F17:F27)</f>
        <v>0</v>
      </c>
    </row>
    <row r="29" spans="1:9" x14ac:dyDescent="0.25">
      <c r="B29" s="15"/>
      <c r="C29" s="15"/>
      <c r="D29" s="15"/>
      <c r="E29" s="15"/>
      <c r="F29" s="3"/>
    </row>
    <row r="30" spans="1:9" ht="13" x14ac:dyDescent="0.3">
      <c r="A30" s="1" t="s">
        <v>27</v>
      </c>
      <c r="B30" s="15"/>
      <c r="C30" s="15"/>
      <c r="D30" s="15"/>
      <c r="E30" s="15"/>
      <c r="F30" s="3"/>
    </row>
    <row r="31" spans="1:9" x14ac:dyDescent="0.25">
      <c r="A31" t="s">
        <v>25</v>
      </c>
      <c r="B31" s="15"/>
      <c r="C31" s="15"/>
      <c r="D31" s="15"/>
      <c r="E31" s="15"/>
      <c r="F31" s="3"/>
    </row>
    <row r="32" spans="1:9" x14ac:dyDescent="0.25">
      <c r="A32" s="2" t="s">
        <v>40</v>
      </c>
      <c r="B32" s="15">
        <f>-B22</f>
        <v>-1010.0000000000003</v>
      </c>
      <c r="C32" s="15"/>
      <c r="D32" s="15"/>
      <c r="E32" s="15"/>
      <c r="F32" s="3"/>
    </row>
    <row r="33" spans="1:4" x14ac:dyDescent="0.25">
      <c r="A33" s="2" t="s">
        <v>26</v>
      </c>
      <c r="B33" s="4">
        <f>-B26</f>
        <v>51000</v>
      </c>
      <c r="D33" s="3"/>
    </row>
    <row r="34" spans="1:4" x14ac:dyDescent="0.25">
      <c r="B34" s="3">
        <f>SUM(B32:B33)</f>
        <v>49990</v>
      </c>
      <c r="D34" s="3"/>
    </row>
    <row r="36" spans="1:4" x14ac:dyDescent="0.25">
      <c r="A36" t="s">
        <v>28</v>
      </c>
    </row>
    <row r="37" spans="1:4" x14ac:dyDescent="0.25">
      <c r="A37" s="2" t="s">
        <v>41</v>
      </c>
      <c r="B37" s="3">
        <f>-E24-C23</f>
        <v>1010.0000000000073</v>
      </c>
    </row>
    <row r="38" spans="1:4" x14ac:dyDescent="0.25">
      <c r="A38" s="2" t="s">
        <v>29</v>
      </c>
      <c r="B38" s="3">
        <f>-C18</f>
        <v>-20801.980198019803</v>
      </c>
    </row>
    <row r="39" spans="1:4" x14ac:dyDescent="0.25">
      <c r="A39" s="2" t="s">
        <v>30</v>
      </c>
      <c r="B39" s="4">
        <f>-B27</f>
        <v>-51000</v>
      </c>
    </row>
    <row r="40" spans="1:4" x14ac:dyDescent="0.25">
      <c r="B40" s="3">
        <f>SUM(B37:B39)</f>
        <v>-70791.980198019795</v>
      </c>
    </row>
    <row r="41" spans="1:4" x14ac:dyDescent="0.25">
      <c r="B41" s="10"/>
    </row>
    <row r="42" spans="1:4" x14ac:dyDescent="0.25">
      <c r="A42" t="s">
        <v>31</v>
      </c>
      <c r="B42" s="3">
        <f>SUM(B34,B40)</f>
        <v>-20801.980198019795</v>
      </c>
    </row>
    <row r="43" spans="1:4" x14ac:dyDescent="0.25">
      <c r="A43" t="s">
        <v>49</v>
      </c>
      <c r="B43" s="4">
        <f>-F21</f>
        <v>-198.01980198019803</v>
      </c>
    </row>
    <row r="44" spans="1:4" x14ac:dyDescent="0.25">
      <c r="B44" s="3">
        <f>SUM(B42:B43)</f>
        <v>-20999.999999999993</v>
      </c>
    </row>
    <row r="46" spans="1:4" ht="13" x14ac:dyDescent="0.3">
      <c r="A46" s="1" t="s">
        <v>44</v>
      </c>
    </row>
    <row r="47" spans="1:4" x14ac:dyDescent="0.25">
      <c r="A47" t="s">
        <v>45</v>
      </c>
      <c r="B47" s="3">
        <f>-$B$7</f>
        <v>50000</v>
      </c>
    </row>
    <row r="48" spans="1:4" x14ac:dyDescent="0.25">
      <c r="A48" t="s">
        <v>46</v>
      </c>
      <c r="B48" s="3">
        <f>B21</f>
        <v>-10</v>
      </c>
    </row>
    <row r="49" spans="1:9" x14ac:dyDescent="0.25">
      <c r="A49" t="s">
        <v>47</v>
      </c>
      <c r="B49" s="4">
        <v>0</v>
      </c>
    </row>
    <row r="50" spans="1:9" x14ac:dyDescent="0.25">
      <c r="A50" t="s">
        <v>25</v>
      </c>
      <c r="B50" s="3">
        <f>SUM(B47:B49)</f>
        <v>49990</v>
      </c>
      <c r="C50" t="str">
        <f>IF(B34=B50,"[Pass]","[Fail]")</f>
        <v>[Pass]</v>
      </c>
    </row>
    <row r="51" spans="1:9" x14ac:dyDescent="0.25">
      <c r="B51" s="3"/>
    </row>
    <row r="52" spans="1:9" ht="13" x14ac:dyDescent="0.3">
      <c r="A52" s="1" t="s">
        <v>61</v>
      </c>
    </row>
    <row r="53" spans="1:9" ht="13" x14ac:dyDescent="0.3">
      <c r="A53" s="1" t="s">
        <v>6</v>
      </c>
    </row>
    <row r="54" spans="1:9" ht="37.5" x14ac:dyDescent="0.25">
      <c r="B54" s="19" t="s">
        <v>19</v>
      </c>
      <c r="C54" s="19" t="s">
        <v>17</v>
      </c>
      <c r="D54" s="12" t="s">
        <v>8</v>
      </c>
      <c r="E54" t="s">
        <v>9</v>
      </c>
      <c r="F54" s="6" t="s">
        <v>12</v>
      </c>
    </row>
    <row r="55" spans="1:9" x14ac:dyDescent="0.25">
      <c r="B55" s="12" t="s">
        <v>5</v>
      </c>
      <c r="C55" s="12" t="s">
        <v>5</v>
      </c>
      <c r="D55" s="12" t="s">
        <v>10</v>
      </c>
      <c r="E55" t="s">
        <v>5</v>
      </c>
      <c r="F55" t="s">
        <v>10</v>
      </c>
    </row>
    <row r="56" spans="1:9" x14ac:dyDescent="0.25">
      <c r="A56" t="s">
        <v>7</v>
      </c>
      <c r="B56" s="15">
        <v>0</v>
      </c>
      <c r="C56" s="15">
        <v>0</v>
      </c>
      <c r="D56" s="15">
        <f t="shared" ref="D56:D66" si="3">SUM(B56:C56)</f>
        <v>0</v>
      </c>
      <c r="E56" s="3">
        <v>0</v>
      </c>
      <c r="F56" s="3">
        <f>SUM(D56:E56)</f>
        <v>0</v>
      </c>
    </row>
    <row r="57" spans="1:9" x14ac:dyDescent="0.25">
      <c r="A57" t="s">
        <v>11</v>
      </c>
      <c r="B57" s="15">
        <v>0</v>
      </c>
      <c r="C57" s="15">
        <f>$B$11</f>
        <v>20801.980198019803</v>
      </c>
      <c r="D57" s="15">
        <f t="shared" si="3"/>
        <v>20801.980198019803</v>
      </c>
      <c r="E57" s="3">
        <v>0</v>
      </c>
      <c r="F57" s="3">
        <f t="shared" ref="F57:F66" si="4">SUM(D57:E57)</f>
        <v>20801.980198019803</v>
      </c>
    </row>
    <row r="58" spans="1:9" x14ac:dyDescent="0.25">
      <c r="A58" t="s">
        <v>13</v>
      </c>
      <c r="B58" s="15">
        <f>-$B$7</f>
        <v>50000</v>
      </c>
      <c r="C58" s="15">
        <v>0</v>
      </c>
      <c r="D58" s="15">
        <f t="shared" si="3"/>
        <v>50000</v>
      </c>
      <c r="E58" s="3">
        <v>0</v>
      </c>
      <c r="F58" s="3">
        <f t="shared" si="4"/>
        <v>50000</v>
      </c>
    </row>
    <row r="59" spans="1:9" x14ac:dyDescent="0.25">
      <c r="A59" t="s">
        <v>18</v>
      </c>
      <c r="B59" s="15">
        <f>-$B$8*H61</f>
        <v>-36015.941826318005</v>
      </c>
      <c r="C59" s="15">
        <f>-$B$8*I61</f>
        <v>-14984.058173682004</v>
      </c>
      <c r="D59" s="15">
        <f t="shared" si="3"/>
        <v>-51000.000000000007</v>
      </c>
      <c r="E59" s="3">
        <v>0</v>
      </c>
      <c r="F59" s="3">
        <f t="shared" si="4"/>
        <v>-51000.000000000007</v>
      </c>
      <c r="H59" s="8" t="s">
        <v>24</v>
      </c>
    </row>
    <row r="60" spans="1:9" x14ac:dyDescent="0.25">
      <c r="A60" t="s">
        <v>49</v>
      </c>
      <c r="B60" s="15">
        <f>SUM(B56:B59)*$B$3</f>
        <v>139.84058173681996</v>
      </c>
      <c r="C60" s="15">
        <f>SUM(C56:C59)*$B$3</f>
        <v>58.179220243377983</v>
      </c>
      <c r="D60" s="15">
        <f t="shared" si="3"/>
        <v>198.01980198019794</v>
      </c>
      <c r="E60" s="3">
        <v>0</v>
      </c>
      <c r="F60" s="3">
        <f t="shared" si="4"/>
        <v>198.01980198019794</v>
      </c>
      <c r="H60" s="9" t="s">
        <v>19</v>
      </c>
      <c r="I60" s="9" t="s">
        <v>17</v>
      </c>
    </row>
    <row r="61" spans="1:9" x14ac:dyDescent="0.25">
      <c r="A61" t="s">
        <v>14</v>
      </c>
      <c r="B61" s="15">
        <f>-$C$9*H61</f>
        <v>-14123.898755418824</v>
      </c>
      <c r="C61" s="15">
        <v>0</v>
      </c>
      <c r="D61" s="15">
        <f t="shared" si="3"/>
        <v>-14123.898755418824</v>
      </c>
      <c r="E61" s="3">
        <v>0</v>
      </c>
      <c r="F61" s="3">
        <f t="shared" si="4"/>
        <v>-14123.898755418824</v>
      </c>
      <c r="H61" s="7">
        <f>SUM(B56:B58)/SUM($D$56:$D$58)</f>
        <v>0.70619493777094122</v>
      </c>
      <c r="I61" s="7">
        <f>SUM(C56:C58)/SUM($D$56:$D$58)</f>
        <v>0.29380506222905889</v>
      </c>
    </row>
    <row r="62" spans="1:9" x14ac:dyDescent="0.25">
      <c r="A62" t="s">
        <v>15</v>
      </c>
      <c r="B62" s="15">
        <v>0</v>
      </c>
      <c r="C62" s="15">
        <f>-$C$9*I61</f>
        <v>-5876.1012445811775</v>
      </c>
      <c r="D62" s="15">
        <f t="shared" si="3"/>
        <v>-5876.1012445811775</v>
      </c>
      <c r="E62" s="3">
        <v>0</v>
      </c>
      <c r="F62" s="3">
        <f t="shared" si="4"/>
        <v>-5876.1012445811775</v>
      </c>
    </row>
    <row r="63" spans="1:9" x14ac:dyDescent="0.25">
      <c r="A63" t="s">
        <v>20</v>
      </c>
      <c r="B63" s="15">
        <v>0</v>
      </c>
      <c r="C63" s="15">
        <v>0</v>
      </c>
      <c r="D63" s="15">
        <f t="shared" si="3"/>
        <v>0</v>
      </c>
      <c r="E63" s="3">
        <f>$C$9</f>
        <v>20000</v>
      </c>
      <c r="F63" s="3">
        <f t="shared" si="4"/>
        <v>20000</v>
      </c>
    </row>
    <row r="64" spans="1:9" x14ac:dyDescent="0.25">
      <c r="A64" t="s">
        <v>54</v>
      </c>
      <c r="B64" s="15">
        <v>0</v>
      </c>
      <c r="C64" s="15">
        <v>0</v>
      </c>
      <c r="D64" s="15">
        <f t="shared" si="3"/>
        <v>0</v>
      </c>
      <c r="E64" s="3">
        <f>-$C$9</f>
        <v>-20000</v>
      </c>
      <c r="F64" s="3">
        <f t="shared" si="4"/>
        <v>-20000</v>
      </c>
      <c r="I64" s="3"/>
    </row>
    <row r="65" spans="1:6" x14ac:dyDescent="0.25">
      <c r="A65" t="s">
        <v>32</v>
      </c>
      <c r="B65" s="3">
        <f>$B$59</f>
        <v>-36015.941826318005</v>
      </c>
      <c r="C65" s="3">
        <v>0</v>
      </c>
      <c r="D65" s="3">
        <f t="shared" si="3"/>
        <v>-36015.941826318005</v>
      </c>
      <c r="E65" s="3">
        <v>0</v>
      </c>
      <c r="F65" s="3">
        <f t="shared" si="4"/>
        <v>-36015.941826318005</v>
      </c>
    </row>
    <row r="66" spans="1:6" x14ac:dyDescent="0.25">
      <c r="A66" t="s">
        <v>23</v>
      </c>
      <c r="B66" s="4">
        <f>-B65</f>
        <v>36015.941826318005</v>
      </c>
      <c r="C66" s="4">
        <v>0</v>
      </c>
      <c r="D66" s="4">
        <f t="shared" si="3"/>
        <v>36015.941826318005</v>
      </c>
      <c r="E66" s="4">
        <v>0</v>
      </c>
      <c r="F66" s="4">
        <f t="shared" si="4"/>
        <v>36015.941826318005</v>
      </c>
    </row>
    <row r="67" spans="1:6" x14ac:dyDescent="0.25">
      <c r="A67" t="s">
        <v>21</v>
      </c>
      <c r="B67" s="3">
        <f>SUM(B56:B66)</f>
        <v>0</v>
      </c>
      <c r="C67" s="3">
        <f>SUM(C56:C66)</f>
        <v>-9.0949470177292824E-13</v>
      </c>
      <c r="D67" s="3">
        <f>SUM(D56:D66)</f>
        <v>0</v>
      </c>
      <c r="E67" s="3">
        <f>SUM(E56:E66)</f>
        <v>0</v>
      </c>
      <c r="F67" s="3">
        <f>SUM(F56:F66)</f>
        <v>0</v>
      </c>
    </row>
    <row r="68" spans="1:6" x14ac:dyDescent="0.25">
      <c r="B68" s="3"/>
      <c r="C68" s="3"/>
      <c r="D68" s="3"/>
      <c r="E68" s="3"/>
      <c r="F68" s="3"/>
    </row>
    <row r="69" spans="1:6" x14ac:dyDescent="0.25">
      <c r="A69" t="s">
        <v>74</v>
      </c>
      <c r="B69" s="3"/>
      <c r="C69" s="3"/>
      <c r="D69" s="3"/>
      <c r="E69" s="3"/>
      <c r="F69" s="3"/>
    </row>
    <row r="70" spans="1:6" x14ac:dyDescent="0.25">
      <c r="B70" s="3"/>
      <c r="C70" s="3"/>
      <c r="D70" s="3"/>
      <c r="E70" s="3"/>
      <c r="F70" s="3"/>
    </row>
    <row r="71" spans="1:6" ht="13" x14ac:dyDescent="0.3">
      <c r="A71" s="1" t="s">
        <v>27</v>
      </c>
      <c r="B71" s="3"/>
      <c r="C71" s="3"/>
      <c r="D71" s="3"/>
      <c r="E71" s="3"/>
      <c r="F71" s="3"/>
    </row>
    <row r="72" spans="1:6" x14ac:dyDescent="0.25">
      <c r="A72" t="s">
        <v>25</v>
      </c>
      <c r="B72" s="3"/>
      <c r="C72" s="3"/>
      <c r="D72" s="3"/>
      <c r="E72" s="3"/>
      <c r="F72" s="3"/>
    </row>
    <row r="73" spans="1:6" x14ac:dyDescent="0.25">
      <c r="A73" s="2" t="s">
        <v>40</v>
      </c>
      <c r="B73" s="3">
        <f>-B61</f>
        <v>14123.898755418824</v>
      </c>
      <c r="C73" s="3"/>
      <c r="D73" s="3"/>
      <c r="E73" s="3"/>
      <c r="F73" s="3"/>
    </row>
    <row r="74" spans="1:6" x14ac:dyDescent="0.25">
      <c r="A74" s="2" t="s">
        <v>26</v>
      </c>
      <c r="B74" s="4">
        <f>-B65</f>
        <v>36015.941826318005</v>
      </c>
      <c r="D74" s="3"/>
    </row>
    <row r="75" spans="1:6" x14ac:dyDescent="0.25">
      <c r="B75" s="3">
        <f>SUM(B73:B74)</f>
        <v>50139.840581736833</v>
      </c>
      <c r="D75" s="3"/>
    </row>
    <row r="77" spans="1:6" x14ac:dyDescent="0.25">
      <c r="A77" t="s">
        <v>28</v>
      </c>
    </row>
    <row r="78" spans="1:6" x14ac:dyDescent="0.25">
      <c r="A78" s="2" t="s">
        <v>41</v>
      </c>
      <c r="B78" s="3">
        <f>-E63-C62</f>
        <v>-14123.898755418822</v>
      </c>
    </row>
    <row r="79" spans="1:6" x14ac:dyDescent="0.25">
      <c r="A79" s="2" t="s">
        <v>29</v>
      </c>
      <c r="B79" s="3">
        <f>-C57</f>
        <v>-20801.980198019803</v>
      </c>
    </row>
    <row r="80" spans="1:6" x14ac:dyDescent="0.25">
      <c r="A80" s="2" t="s">
        <v>30</v>
      </c>
      <c r="B80" s="4">
        <f>-B66</f>
        <v>-36015.941826318005</v>
      </c>
    </row>
    <row r="81" spans="1:6" x14ac:dyDescent="0.25">
      <c r="B81" s="3">
        <f>SUM(B78:B80)</f>
        <v>-70941.820779756628</v>
      </c>
    </row>
    <row r="82" spans="1:6" x14ac:dyDescent="0.25">
      <c r="B82" s="10"/>
    </row>
    <row r="83" spans="1:6" x14ac:dyDescent="0.25">
      <c r="A83" t="s">
        <v>31</v>
      </c>
      <c r="B83" s="3">
        <f>SUM(B75,B81)</f>
        <v>-20801.980198019795</v>
      </c>
    </row>
    <row r="84" spans="1:6" x14ac:dyDescent="0.25">
      <c r="A84" t="s">
        <v>49</v>
      </c>
      <c r="B84" s="4">
        <f>-F60</f>
        <v>-198.01980198019794</v>
      </c>
    </row>
    <row r="85" spans="1:6" x14ac:dyDescent="0.25">
      <c r="B85" s="3">
        <f>SUM(B83:B84)</f>
        <v>-20999.999999999993</v>
      </c>
    </row>
    <row r="87" spans="1:6" ht="13" x14ac:dyDescent="0.3">
      <c r="A87" s="1" t="s">
        <v>44</v>
      </c>
    </row>
    <row r="88" spans="1:6" x14ac:dyDescent="0.25">
      <c r="A88" t="s">
        <v>45</v>
      </c>
      <c r="B88" s="3">
        <f>-$B$7</f>
        <v>50000</v>
      </c>
    </row>
    <row r="89" spans="1:6" x14ac:dyDescent="0.25">
      <c r="A89" t="s">
        <v>46</v>
      </c>
      <c r="B89" s="3">
        <f>B60</f>
        <v>139.84058173681996</v>
      </c>
    </row>
    <row r="90" spans="1:6" x14ac:dyDescent="0.25">
      <c r="A90" t="s">
        <v>47</v>
      </c>
      <c r="B90" s="4">
        <v>0</v>
      </c>
    </row>
    <row r="91" spans="1:6" x14ac:dyDescent="0.25">
      <c r="A91" t="s">
        <v>25</v>
      </c>
      <c r="B91" s="3">
        <f>SUM(B88:B90)</f>
        <v>50139.840581736818</v>
      </c>
      <c r="C91" t="str">
        <f>IF(B75=B91,"[Pass]","[Fail]")</f>
        <v>[Pass]</v>
      </c>
    </row>
    <row r="93" spans="1:6" ht="13" x14ac:dyDescent="0.3">
      <c r="A93" s="1" t="s">
        <v>62</v>
      </c>
    </row>
    <row r="94" spans="1:6" ht="13" x14ac:dyDescent="0.3">
      <c r="A94" s="1" t="s">
        <v>6</v>
      </c>
    </row>
    <row r="95" spans="1:6" ht="37.5" x14ac:dyDescent="0.25">
      <c r="B95" s="6" t="s">
        <v>19</v>
      </c>
      <c r="C95" s="6" t="s">
        <v>17</v>
      </c>
      <c r="D95" t="s">
        <v>8</v>
      </c>
      <c r="E95" t="s">
        <v>9</v>
      </c>
      <c r="F95" s="6" t="s">
        <v>12</v>
      </c>
    </row>
    <row r="96" spans="1:6" x14ac:dyDescent="0.25">
      <c r="B96" t="s">
        <v>5</v>
      </c>
      <c r="C96" t="s">
        <v>5</v>
      </c>
      <c r="D96" t="s">
        <v>10</v>
      </c>
      <c r="E96" t="s">
        <v>5</v>
      </c>
      <c r="F96" t="s">
        <v>10</v>
      </c>
    </row>
    <row r="97" spans="1:9" x14ac:dyDescent="0.25">
      <c r="A97" t="s">
        <v>7</v>
      </c>
      <c r="B97" s="3">
        <v>0</v>
      </c>
      <c r="C97" s="3">
        <v>0</v>
      </c>
      <c r="D97" s="3">
        <f t="shared" ref="D97:D107" si="5">SUM(B97:C97)</f>
        <v>0</v>
      </c>
      <c r="E97" s="3">
        <v>0</v>
      </c>
      <c r="F97" s="3">
        <f>SUM(D97:E97)</f>
        <v>0</v>
      </c>
    </row>
    <row r="98" spans="1:9" x14ac:dyDescent="0.25">
      <c r="A98" t="s">
        <v>11</v>
      </c>
      <c r="B98" s="3">
        <v>0</v>
      </c>
      <c r="C98" s="3">
        <f>$B$11</f>
        <v>20801.980198019803</v>
      </c>
      <c r="D98" s="3">
        <f t="shared" si="5"/>
        <v>20801.980198019803</v>
      </c>
      <c r="E98" s="3">
        <v>0</v>
      </c>
      <c r="F98" s="3">
        <f t="shared" ref="F98:F107" si="6">SUM(D98:E98)</f>
        <v>20801.980198019803</v>
      </c>
    </row>
    <row r="99" spans="1:9" x14ac:dyDescent="0.25">
      <c r="A99" t="s">
        <v>13</v>
      </c>
      <c r="B99" s="15">
        <f>-$B$7</f>
        <v>50000</v>
      </c>
      <c r="C99" s="15">
        <v>0</v>
      </c>
      <c r="D99" s="3">
        <f t="shared" si="5"/>
        <v>50000</v>
      </c>
      <c r="E99" s="3">
        <v>0</v>
      </c>
      <c r="F99" s="3">
        <f t="shared" si="6"/>
        <v>50000</v>
      </c>
    </row>
    <row r="100" spans="1:9" x14ac:dyDescent="0.25">
      <c r="A100" t="s">
        <v>18</v>
      </c>
      <c r="B100" s="15">
        <f>-$B$8-C100</f>
        <v>-30198.019801980197</v>
      </c>
      <c r="C100" s="15">
        <f>-C98</f>
        <v>-20801.980198019803</v>
      </c>
      <c r="D100" s="3">
        <f t="shared" si="5"/>
        <v>-51000</v>
      </c>
      <c r="E100" s="3">
        <v>0</v>
      </c>
      <c r="F100" s="3">
        <f t="shared" si="6"/>
        <v>-51000</v>
      </c>
      <c r="H100" s="8" t="s">
        <v>24</v>
      </c>
    </row>
    <row r="101" spans="1:9" x14ac:dyDescent="0.25">
      <c r="A101" t="s">
        <v>49</v>
      </c>
      <c r="B101" s="15">
        <f>SUM(B97:B100)*$B$3</f>
        <v>198.01980198019803</v>
      </c>
      <c r="C101" s="15">
        <f>SUM(C97:C100)*$B$3</f>
        <v>0</v>
      </c>
      <c r="D101" s="3">
        <f t="shared" si="5"/>
        <v>198.01980198019803</v>
      </c>
      <c r="E101" s="3">
        <v>0</v>
      </c>
      <c r="F101" s="3">
        <f t="shared" si="6"/>
        <v>198.01980198019803</v>
      </c>
      <c r="H101" s="9" t="s">
        <v>19</v>
      </c>
      <c r="I101" s="9" t="s">
        <v>17</v>
      </c>
    </row>
    <row r="102" spans="1:9" x14ac:dyDescent="0.25">
      <c r="A102" t="s">
        <v>14</v>
      </c>
      <c r="B102" s="3">
        <f>-$C$9*H102</f>
        <v>-20000.000000000015</v>
      </c>
      <c r="C102" s="3">
        <v>0</v>
      </c>
      <c r="D102" s="3">
        <f t="shared" si="5"/>
        <v>-20000.000000000015</v>
      </c>
      <c r="E102" s="3">
        <v>0</v>
      </c>
      <c r="F102" s="3">
        <f t="shared" si="6"/>
        <v>-20000.000000000015</v>
      </c>
      <c r="H102" s="7">
        <f>SUM(B97:B101)/SUM($D$56:$D$60)</f>
        <v>1.0000000000000007</v>
      </c>
      <c r="I102" s="7">
        <f>SUM(C97:C101)/SUM($D$56:$D$60)</f>
        <v>0</v>
      </c>
    </row>
    <row r="103" spans="1:9" x14ac:dyDescent="0.25">
      <c r="A103" t="s">
        <v>15</v>
      </c>
      <c r="B103" s="3">
        <v>0</v>
      </c>
      <c r="C103" s="3">
        <f>-$C$9*I102</f>
        <v>0</v>
      </c>
      <c r="D103" s="3">
        <f t="shared" si="5"/>
        <v>0</v>
      </c>
      <c r="E103" s="3">
        <v>0</v>
      </c>
      <c r="F103" s="3">
        <f t="shared" si="6"/>
        <v>0</v>
      </c>
    </row>
    <row r="104" spans="1:9" x14ac:dyDescent="0.25">
      <c r="A104" t="s">
        <v>20</v>
      </c>
      <c r="B104" s="3">
        <v>0</v>
      </c>
      <c r="C104" s="3">
        <v>0</v>
      </c>
      <c r="D104" s="3">
        <f t="shared" si="5"/>
        <v>0</v>
      </c>
      <c r="E104" s="3">
        <f>$C$9</f>
        <v>20000</v>
      </c>
      <c r="F104" s="3">
        <f t="shared" si="6"/>
        <v>20000</v>
      </c>
    </row>
    <row r="105" spans="1:9" x14ac:dyDescent="0.25">
      <c r="A105" t="s">
        <v>54</v>
      </c>
      <c r="B105" s="3">
        <v>0</v>
      </c>
      <c r="C105" s="3">
        <v>0</v>
      </c>
      <c r="D105" s="3">
        <f t="shared" si="5"/>
        <v>0</v>
      </c>
      <c r="E105" s="3">
        <f>-$C$9</f>
        <v>-20000</v>
      </c>
      <c r="F105" s="3">
        <f t="shared" si="6"/>
        <v>-20000</v>
      </c>
    </row>
    <row r="106" spans="1:9" x14ac:dyDescent="0.25">
      <c r="A106" t="s">
        <v>33</v>
      </c>
      <c r="B106" s="3">
        <f>B100</f>
        <v>-30198.019801980197</v>
      </c>
      <c r="C106" s="3">
        <v>0</v>
      </c>
      <c r="D106" s="3">
        <f t="shared" si="5"/>
        <v>-30198.019801980197</v>
      </c>
      <c r="E106" s="3">
        <v>0</v>
      </c>
      <c r="F106" s="3">
        <f t="shared" si="6"/>
        <v>-30198.019801980197</v>
      </c>
    </row>
    <row r="107" spans="1:9" x14ac:dyDescent="0.25">
      <c r="A107" t="s">
        <v>23</v>
      </c>
      <c r="B107" s="4">
        <f>-B106</f>
        <v>30198.019801980197</v>
      </c>
      <c r="C107" s="4">
        <v>0</v>
      </c>
      <c r="D107" s="4">
        <f t="shared" si="5"/>
        <v>30198.019801980197</v>
      </c>
      <c r="E107" s="4">
        <v>0</v>
      </c>
      <c r="F107" s="4">
        <f t="shared" si="6"/>
        <v>30198.019801980197</v>
      </c>
    </row>
    <row r="108" spans="1:9" x14ac:dyDescent="0.25">
      <c r="A108" t="s">
        <v>21</v>
      </c>
      <c r="B108" s="3">
        <f>SUM(B97:B107)</f>
        <v>0</v>
      </c>
      <c r="C108" s="3">
        <f>SUM(C97:C107)</f>
        <v>0</v>
      </c>
      <c r="D108" s="3">
        <f>SUM(D97:D107)</f>
        <v>0</v>
      </c>
      <c r="E108" s="3">
        <f>SUM(E97:E107)</f>
        <v>0</v>
      </c>
      <c r="F108" s="3">
        <f>SUM(F97:F107)</f>
        <v>0</v>
      </c>
    </row>
    <row r="109" spans="1:9" x14ac:dyDescent="0.25">
      <c r="B109" s="3"/>
      <c r="C109" s="3"/>
      <c r="D109" s="3"/>
      <c r="E109" s="3"/>
      <c r="F109" s="3"/>
    </row>
    <row r="110" spans="1:9" x14ac:dyDescent="0.25">
      <c r="A110" t="s">
        <v>75</v>
      </c>
      <c r="B110" s="3"/>
      <c r="C110" s="3"/>
      <c r="D110" s="3"/>
      <c r="E110" s="3"/>
      <c r="F110" s="3"/>
    </row>
    <row r="111" spans="1:9" x14ac:dyDescent="0.25">
      <c r="B111" s="3"/>
      <c r="C111" s="3"/>
      <c r="D111" s="3"/>
      <c r="E111" s="3"/>
      <c r="F111" s="3"/>
    </row>
    <row r="112" spans="1:9" ht="13" x14ac:dyDescent="0.3">
      <c r="A112" s="1" t="s">
        <v>27</v>
      </c>
      <c r="B112" s="3"/>
      <c r="C112" s="3"/>
      <c r="D112" s="3"/>
      <c r="E112" s="3"/>
      <c r="F112" s="3"/>
    </row>
    <row r="113" spans="1:6" x14ac:dyDescent="0.25">
      <c r="A113" t="s">
        <v>25</v>
      </c>
      <c r="B113" s="3"/>
      <c r="C113" s="3"/>
      <c r="D113" s="3"/>
      <c r="E113" s="3"/>
      <c r="F113" s="3"/>
    </row>
    <row r="114" spans="1:6" x14ac:dyDescent="0.25">
      <c r="A114" s="2" t="s">
        <v>40</v>
      </c>
      <c r="B114" s="3">
        <f>-B102</f>
        <v>20000.000000000015</v>
      </c>
      <c r="C114" s="3"/>
      <c r="D114" s="3"/>
      <c r="E114" s="3"/>
      <c r="F114" s="3"/>
    </row>
    <row r="115" spans="1:6" x14ac:dyDescent="0.25">
      <c r="A115" s="2" t="s">
        <v>26</v>
      </c>
      <c r="B115" s="4">
        <f>-B106</f>
        <v>30198.019801980197</v>
      </c>
      <c r="D115" s="3"/>
    </row>
    <row r="116" spans="1:6" x14ac:dyDescent="0.25">
      <c r="B116" s="3">
        <f>SUM(B114:B115)</f>
        <v>50198.019801980212</v>
      </c>
      <c r="D116" s="3"/>
    </row>
    <row r="117" spans="1:6" x14ac:dyDescent="0.25">
      <c r="D117" s="3"/>
    </row>
    <row r="118" spans="1:6" x14ac:dyDescent="0.25">
      <c r="A118" t="s">
        <v>28</v>
      </c>
    </row>
    <row r="119" spans="1:6" x14ac:dyDescent="0.25">
      <c r="A119" s="2" t="s">
        <v>41</v>
      </c>
      <c r="B119" s="3">
        <f>-E104-C103</f>
        <v>-20000</v>
      </c>
    </row>
    <row r="120" spans="1:6" x14ac:dyDescent="0.25">
      <c r="A120" s="2" t="s">
        <v>29</v>
      </c>
      <c r="B120" s="3">
        <f>-C98</f>
        <v>-20801.980198019803</v>
      </c>
    </row>
    <row r="121" spans="1:6" x14ac:dyDescent="0.25">
      <c r="A121" s="2" t="s">
        <v>30</v>
      </c>
      <c r="B121" s="4">
        <f>-B107</f>
        <v>-30198.019801980197</v>
      </c>
    </row>
    <row r="122" spans="1:6" x14ac:dyDescent="0.25">
      <c r="B122" s="3">
        <f>SUM(B119:B121)</f>
        <v>-71000</v>
      </c>
    </row>
    <row r="123" spans="1:6" x14ac:dyDescent="0.25">
      <c r="B123" s="10"/>
    </row>
    <row r="124" spans="1:6" x14ac:dyDescent="0.25">
      <c r="A124" t="s">
        <v>31</v>
      </c>
      <c r="B124" s="3">
        <f>SUM(B116,B122)</f>
        <v>-20801.980198019788</v>
      </c>
    </row>
    <row r="125" spans="1:6" x14ac:dyDescent="0.25">
      <c r="A125" t="s">
        <v>49</v>
      </c>
      <c r="B125" s="4">
        <f>-F101</f>
        <v>-198.01980198019803</v>
      </c>
    </row>
    <row r="126" spans="1:6" x14ac:dyDescent="0.25">
      <c r="B126" s="3">
        <f>SUM(B124:B125)</f>
        <v>-20999.999999999985</v>
      </c>
    </row>
    <row r="128" spans="1:6" ht="13" x14ac:dyDescent="0.3">
      <c r="A128" s="1" t="s">
        <v>44</v>
      </c>
    </row>
    <row r="129" spans="1:5" x14ac:dyDescent="0.25">
      <c r="A129" t="s">
        <v>45</v>
      </c>
      <c r="B129" s="3">
        <f>-$B$7</f>
        <v>50000</v>
      </c>
    </row>
    <row r="130" spans="1:5" x14ac:dyDescent="0.25">
      <c r="A130" t="s">
        <v>46</v>
      </c>
      <c r="B130" s="3">
        <f>B101</f>
        <v>198.01980198019803</v>
      </c>
    </row>
    <row r="131" spans="1:5" x14ac:dyDescent="0.25">
      <c r="A131" t="s">
        <v>47</v>
      </c>
      <c r="B131" s="4">
        <v>0</v>
      </c>
    </row>
    <row r="132" spans="1:5" x14ac:dyDescent="0.25">
      <c r="A132" t="s">
        <v>25</v>
      </c>
      <c r="B132" s="3">
        <f>SUM(B129:B131)</f>
        <v>50198.019801980197</v>
      </c>
      <c r="C132" t="str">
        <f>IF(ROUND(B116,9)=ROUND(B132,9),"[Pass]","[Fail]")</f>
        <v>[Pass]</v>
      </c>
      <c r="E132" s="3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workbookViewId="0">
      <selection activeCell="E6" sqref="E6"/>
    </sheetView>
  </sheetViews>
  <sheetFormatPr defaultRowHeight="12.5" x14ac:dyDescent="0.25"/>
  <cols>
    <col min="1" max="1" width="53.1796875" bestFit="1" customWidth="1"/>
    <col min="2" max="6" width="11.453125" customWidth="1"/>
  </cols>
  <sheetData>
    <row r="1" spans="1:6" ht="13" x14ac:dyDescent="0.3">
      <c r="A1" s="1" t="s">
        <v>0</v>
      </c>
    </row>
    <row r="3" spans="1:6" x14ac:dyDescent="0.25">
      <c r="A3" t="s">
        <v>4</v>
      </c>
      <c r="B3" s="5">
        <v>0.01</v>
      </c>
    </row>
    <row r="5" spans="1:6" x14ac:dyDescent="0.25">
      <c r="A5" t="s">
        <v>1</v>
      </c>
      <c r="B5" s="12">
        <v>0</v>
      </c>
      <c r="C5" s="12">
        <v>1</v>
      </c>
      <c r="D5" s="12"/>
    </row>
    <row r="6" spans="1:6" x14ac:dyDescent="0.25">
      <c r="A6" t="s">
        <v>53</v>
      </c>
      <c r="B6" s="12"/>
      <c r="C6" s="12"/>
      <c r="D6" s="12"/>
    </row>
    <row r="7" spans="1:6" x14ac:dyDescent="0.25">
      <c r="A7" s="2" t="s">
        <v>2</v>
      </c>
      <c r="B7" s="15">
        <f>-5000*10</f>
        <v>-50000</v>
      </c>
      <c r="C7" s="15"/>
      <c r="D7" s="12"/>
    </row>
    <row r="8" spans="1:6" x14ac:dyDescent="0.25">
      <c r="A8" s="2" t="s">
        <v>42</v>
      </c>
      <c r="B8" s="16"/>
      <c r="C8" s="16">
        <f>50000*1.1</f>
        <v>55000.000000000007</v>
      </c>
      <c r="D8" s="12"/>
    </row>
    <row r="9" spans="1:6" x14ac:dyDescent="0.25">
      <c r="A9" s="2" t="s">
        <v>43</v>
      </c>
      <c r="B9" s="17"/>
      <c r="C9" s="17">
        <v>5000</v>
      </c>
      <c r="D9" s="12"/>
    </row>
    <row r="10" spans="1:6" x14ac:dyDescent="0.25">
      <c r="B10" s="15">
        <f>SUM(B7:B9)</f>
        <v>-50000</v>
      </c>
      <c r="C10" s="15">
        <f>SUM(C7:C9)</f>
        <v>60000.000000000007</v>
      </c>
      <c r="D10" s="12"/>
    </row>
    <row r="11" spans="1:6" x14ac:dyDescent="0.25">
      <c r="A11" t="s">
        <v>5</v>
      </c>
      <c r="B11" s="15">
        <f>NPV(B3,C10)+B10</f>
        <v>9405.9405940594152</v>
      </c>
      <c r="C11" s="12"/>
      <c r="D11" s="12"/>
    </row>
    <row r="12" spans="1:6" x14ac:dyDescent="0.25">
      <c r="B12" s="12"/>
      <c r="C12" s="12"/>
      <c r="D12" s="12"/>
    </row>
    <row r="13" spans="1:6" ht="13" x14ac:dyDescent="0.3">
      <c r="A13" s="1" t="s">
        <v>63</v>
      </c>
      <c r="B13" s="12"/>
      <c r="C13" s="12"/>
      <c r="D13" s="12"/>
    </row>
    <row r="14" spans="1:6" ht="13" x14ac:dyDescent="0.3">
      <c r="A14" s="1" t="s">
        <v>6</v>
      </c>
      <c r="B14" s="12"/>
      <c r="C14" s="12"/>
      <c r="D14" s="12"/>
    </row>
    <row r="15" spans="1:6" ht="37.5" x14ac:dyDescent="0.25">
      <c r="B15" s="19" t="s">
        <v>16</v>
      </c>
      <c r="C15" s="19" t="s">
        <v>17</v>
      </c>
      <c r="D15" s="12" t="s">
        <v>8</v>
      </c>
      <c r="E15" t="s">
        <v>9</v>
      </c>
      <c r="F15" s="6" t="s">
        <v>12</v>
      </c>
    </row>
    <row r="16" spans="1:6" x14ac:dyDescent="0.25">
      <c r="B16" s="12" t="s">
        <v>5</v>
      </c>
      <c r="C16" s="12" t="s">
        <v>5</v>
      </c>
      <c r="D16" s="12" t="s">
        <v>10</v>
      </c>
      <c r="E16" t="s">
        <v>5</v>
      </c>
      <c r="F16" t="s">
        <v>10</v>
      </c>
    </row>
    <row r="17" spans="1:9" x14ac:dyDescent="0.25">
      <c r="A17" t="s">
        <v>7</v>
      </c>
      <c r="B17" s="15">
        <v>0</v>
      </c>
      <c r="C17" s="15">
        <v>0</v>
      </c>
      <c r="D17" s="15">
        <f t="shared" ref="D17:D27" si="0">SUM(B17:C17)</f>
        <v>0</v>
      </c>
      <c r="E17" s="3">
        <v>0</v>
      </c>
      <c r="F17" s="3">
        <f>SUM(D17:E17)</f>
        <v>0</v>
      </c>
    </row>
    <row r="18" spans="1:9" x14ac:dyDescent="0.25">
      <c r="A18" t="s">
        <v>11</v>
      </c>
      <c r="B18" s="15">
        <v>0</v>
      </c>
      <c r="C18" s="15">
        <f>$B$11</f>
        <v>9405.9405940594152</v>
      </c>
      <c r="D18" s="15">
        <f t="shared" si="0"/>
        <v>9405.9405940594152</v>
      </c>
      <c r="E18" s="3">
        <v>0</v>
      </c>
      <c r="F18" s="3">
        <f t="shared" ref="F18:F27" si="1">SUM(D18:E18)</f>
        <v>9405.9405940594152</v>
      </c>
    </row>
    <row r="19" spans="1:9" x14ac:dyDescent="0.25">
      <c r="A19" t="s">
        <v>13</v>
      </c>
      <c r="B19" s="15">
        <f>-$B$7</f>
        <v>50000</v>
      </c>
      <c r="C19" s="15">
        <v>0</v>
      </c>
      <c r="D19" s="15">
        <f t="shared" si="0"/>
        <v>50000</v>
      </c>
      <c r="E19" s="3">
        <v>0</v>
      </c>
      <c r="F19" s="3">
        <f t="shared" si="1"/>
        <v>50000</v>
      </c>
      <c r="H19" s="8" t="s">
        <v>48</v>
      </c>
    </row>
    <row r="20" spans="1:9" x14ac:dyDescent="0.25">
      <c r="A20" t="s">
        <v>49</v>
      </c>
      <c r="B20" s="15">
        <f>SUM(B17:B19)*$B$3</f>
        <v>500</v>
      </c>
      <c r="C20" s="15">
        <f>SUM(C17:C19)*$B$3</f>
        <v>94.059405940594147</v>
      </c>
      <c r="D20" s="15">
        <f t="shared" si="0"/>
        <v>594.05940594059416</v>
      </c>
      <c r="E20" s="3">
        <v>0</v>
      </c>
      <c r="F20" s="3">
        <f t="shared" si="1"/>
        <v>594.05940594059416</v>
      </c>
      <c r="H20" s="9" t="s">
        <v>19</v>
      </c>
      <c r="I20" s="9" t="s">
        <v>17</v>
      </c>
    </row>
    <row r="21" spans="1:9" x14ac:dyDescent="0.25">
      <c r="A21" t="s">
        <v>36</v>
      </c>
      <c r="B21" s="15">
        <f>-C8</f>
        <v>-55000.000000000007</v>
      </c>
      <c r="C21" s="15">
        <v>0</v>
      </c>
      <c r="D21" s="15">
        <f t="shared" si="0"/>
        <v>-55000.000000000007</v>
      </c>
      <c r="E21" s="3">
        <v>0</v>
      </c>
      <c r="F21" s="3">
        <f t="shared" si="1"/>
        <v>-55000.000000000007</v>
      </c>
      <c r="G21" s="12"/>
      <c r="H21" s="13">
        <f>SUM(B17:B21)/SUM($D$17:$D$21)</f>
        <v>-0.90000000000000147</v>
      </c>
      <c r="I21" s="13">
        <f>SUM(C17:C21)/SUM($D$17:$D$21)</f>
        <v>1.9000000000000019</v>
      </c>
    </row>
    <row r="22" spans="1:9" x14ac:dyDescent="0.25">
      <c r="A22" t="s">
        <v>34</v>
      </c>
      <c r="B22" s="15">
        <v>0</v>
      </c>
      <c r="C22" s="15">
        <v>0</v>
      </c>
      <c r="D22" s="15">
        <f t="shared" si="0"/>
        <v>0</v>
      </c>
      <c r="E22" s="3">
        <v>0</v>
      </c>
      <c r="F22" s="3">
        <f t="shared" si="1"/>
        <v>0</v>
      </c>
    </row>
    <row r="23" spans="1:9" x14ac:dyDescent="0.25">
      <c r="A23" t="s">
        <v>35</v>
      </c>
      <c r="B23" s="15">
        <v>0</v>
      </c>
      <c r="C23" s="15">
        <v>0</v>
      </c>
      <c r="D23" s="15">
        <f t="shared" si="0"/>
        <v>0</v>
      </c>
      <c r="E23" s="3">
        <f>$C$8</f>
        <v>55000.000000000007</v>
      </c>
      <c r="F23" s="3">
        <f t="shared" si="1"/>
        <v>55000.000000000007</v>
      </c>
    </row>
    <row r="24" spans="1:9" x14ac:dyDescent="0.25">
      <c r="A24" t="s">
        <v>37</v>
      </c>
      <c r="B24" s="15">
        <f>-C9*H21</f>
        <v>4500.0000000000073</v>
      </c>
      <c r="C24" s="15">
        <v>0</v>
      </c>
      <c r="D24" s="15">
        <f t="shared" si="0"/>
        <v>4500.0000000000073</v>
      </c>
      <c r="E24" s="3">
        <v>0</v>
      </c>
      <c r="F24" s="3">
        <f t="shared" si="1"/>
        <v>4500.0000000000073</v>
      </c>
    </row>
    <row r="25" spans="1:9" x14ac:dyDescent="0.25">
      <c r="A25" t="s">
        <v>38</v>
      </c>
      <c r="B25" s="15">
        <v>0</v>
      </c>
      <c r="C25" s="15">
        <f>-C9*I21</f>
        <v>-9500.0000000000091</v>
      </c>
      <c r="D25" s="15">
        <f t="shared" si="0"/>
        <v>-9500.0000000000091</v>
      </c>
      <c r="E25" s="3">
        <v>0</v>
      </c>
      <c r="F25" s="3">
        <f t="shared" si="1"/>
        <v>-9500.0000000000091</v>
      </c>
    </row>
    <row r="26" spans="1:9" x14ac:dyDescent="0.25">
      <c r="A26" t="s">
        <v>39</v>
      </c>
      <c r="B26" s="15">
        <v>0</v>
      </c>
      <c r="C26" s="15">
        <v>0</v>
      </c>
      <c r="D26" s="15">
        <f t="shared" si="0"/>
        <v>0</v>
      </c>
      <c r="E26" s="3">
        <f>$C$9</f>
        <v>5000</v>
      </c>
      <c r="F26" s="3">
        <f t="shared" si="1"/>
        <v>5000</v>
      </c>
    </row>
    <row r="27" spans="1:9" x14ac:dyDescent="0.25">
      <c r="A27" t="s">
        <v>54</v>
      </c>
      <c r="B27" s="17">
        <v>0</v>
      </c>
      <c r="C27" s="17">
        <v>0</v>
      </c>
      <c r="D27" s="17">
        <f t="shared" si="0"/>
        <v>0</v>
      </c>
      <c r="E27" s="4">
        <f>-$C$10</f>
        <v>-60000.000000000007</v>
      </c>
      <c r="F27" s="4">
        <f t="shared" si="1"/>
        <v>-60000.000000000007</v>
      </c>
    </row>
    <row r="28" spans="1:9" x14ac:dyDescent="0.25">
      <c r="A28" t="s">
        <v>21</v>
      </c>
      <c r="B28" s="3">
        <f>SUM(B17:B27)</f>
        <v>0</v>
      </c>
      <c r="C28" s="3">
        <f>SUM(C17:C27)</f>
        <v>0</v>
      </c>
      <c r="D28" s="3">
        <f>SUM(D17:D27)</f>
        <v>-1.8189894035458565E-12</v>
      </c>
      <c r="E28" s="3">
        <f>SUM(E17:E27)</f>
        <v>0</v>
      </c>
      <c r="F28" s="3">
        <f>SUM(F17:F27)</f>
        <v>0</v>
      </c>
    </row>
    <row r="29" spans="1:9" x14ac:dyDescent="0.25">
      <c r="B29" s="3"/>
      <c r="C29" s="3"/>
      <c r="D29" s="3"/>
      <c r="E29" s="3"/>
      <c r="F29" s="3"/>
    </row>
    <row r="30" spans="1:9" ht="13" x14ac:dyDescent="0.3">
      <c r="A30" s="1" t="s">
        <v>27</v>
      </c>
      <c r="B30" s="3"/>
      <c r="C30" s="3"/>
      <c r="D30" s="3"/>
      <c r="E30" s="3"/>
      <c r="F30" s="3"/>
    </row>
    <row r="31" spans="1:9" x14ac:dyDescent="0.25">
      <c r="A31" t="s">
        <v>25</v>
      </c>
      <c r="B31" s="3"/>
      <c r="C31" s="3"/>
      <c r="D31" s="3"/>
      <c r="E31" s="3"/>
      <c r="F31" s="3"/>
    </row>
    <row r="32" spans="1:9" x14ac:dyDescent="0.25">
      <c r="A32" s="2" t="s">
        <v>40</v>
      </c>
      <c r="B32" s="4">
        <f>-B24</f>
        <v>-4500.0000000000073</v>
      </c>
      <c r="C32" s="3"/>
      <c r="D32" s="3"/>
      <c r="E32" s="3"/>
      <c r="F32" s="3"/>
    </row>
    <row r="33" spans="1:4" x14ac:dyDescent="0.25">
      <c r="B33" s="3">
        <f>SUM(B32:B32)</f>
        <v>-4500.0000000000073</v>
      </c>
      <c r="D33" s="3"/>
    </row>
    <row r="35" spans="1:4" x14ac:dyDescent="0.25">
      <c r="A35" t="s">
        <v>28</v>
      </c>
    </row>
    <row r="36" spans="1:4" x14ac:dyDescent="0.25">
      <c r="A36" s="2" t="s">
        <v>41</v>
      </c>
      <c r="B36" s="3">
        <f>-C25-E26</f>
        <v>4500.0000000000091</v>
      </c>
    </row>
    <row r="37" spans="1:4" x14ac:dyDescent="0.25">
      <c r="A37" s="2" t="s">
        <v>29</v>
      </c>
      <c r="B37" s="4">
        <f>-C18</f>
        <v>-9405.9405940594152</v>
      </c>
    </row>
    <row r="38" spans="1:4" x14ac:dyDescent="0.25">
      <c r="B38" s="3">
        <f>SUM(B36:B37)</f>
        <v>-4905.9405940594061</v>
      </c>
    </row>
    <row r="39" spans="1:4" x14ac:dyDescent="0.25">
      <c r="B39" s="10"/>
    </row>
    <row r="40" spans="1:4" x14ac:dyDescent="0.25">
      <c r="A40" t="s">
        <v>31</v>
      </c>
      <c r="B40" s="3">
        <f>SUM(B33,B38)</f>
        <v>-9405.9405940594133</v>
      </c>
    </row>
    <row r="41" spans="1:4" x14ac:dyDescent="0.25">
      <c r="A41" t="s">
        <v>49</v>
      </c>
      <c r="B41" s="4">
        <f>-F20</f>
        <v>-594.05940594059416</v>
      </c>
    </row>
    <row r="42" spans="1:4" x14ac:dyDescent="0.25">
      <c r="B42" s="3">
        <f>SUM(B40:B41)</f>
        <v>-10000.000000000007</v>
      </c>
    </row>
    <row r="44" spans="1:4" ht="13" x14ac:dyDescent="0.3">
      <c r="A44" s="1" t="s">
        <v>44</v>
      </c>
    </row>
    <row r="45" spans="1:4" x14ac:dyDescent="0.25">
      <c r="A45" t="s">
        <v>45</v>
      </c>
      <c r="B45" s="3">
        <f>-$B$7</f>
        <v>50000</v>
      </c>
    </row>
    <row r="46" spans="1:4" x14ac:dyDescent="0.25">
      <c r="A46" t="s">
        <v>46</v>
      </c>
      <c r="B46" s="3">
        <f>B20</f>
        <v>500</v>
      </c>
    </row>
    <row r="47" spans="1:4" x14ac:dyDescent="0.25">
      <c r="A47" t="s">
        <v>47</v>
      </c>
      <c r="B47" s="4">
        <f>-$C$8</f>
        <v>-55000.000000000007</v>
      </c>
    </row>
    <row r="48" spans="1:4" x14ac:dyDescent="0.25">
      <c r="A48" t="s">
        <v>25</v>
      </c>
      <c r="B48" s="3">
        <f>SUM(B45:B47)</f>
        <v>-4500.0000000000073</v>
      </c>
      <c r="C48" t="str">
        <f>IF(B32=B48,"[Pass]","[Fail]")</f>
        <v>[Pass]</v>
      </c>
    </row>
    <row r="49" spans="1:9" x14ac:dyDescent="0.25">
      <c r="A49" t="s">
        <v>70</v>
      </c>
      <c r="B49" s="15">
        <f>MAX(B48,0)</f>
        <v>0</v>
      </c>
      <c r="C49" s="12" t="str">
        <f>IF(ROUND(B33,9)=ROUND(B49,9),"[Pass]","[Fail]")</f>
        <v>[Fail]</v>
      </c>
    </row>
    <row r="51" spans="1:9" ht="13" x14ac:dyDescent="0.3">
      <c r="A51" s="1" t="s">
        <v>64</v>
      </c>
    </row>
    <row r="52" spans="1:9" ht="13" x14ac:dyDescent="0.3">
      <c r="A52" s="1" t="s">
        <v>6</v>
      </c>
    </row>
    <row r="53" spans="1:9" ht="37.5" x14ac:dyDescent="0.25">
      <c r="B53" s="6" t="s">
        <v>16</v>
      </c>
      <c r="C53" s="6" t="s">
        <v>17</v>
      </c>
      <c r="D53" t="s">
        <v>8</v>
      </c>
      <c r="E53" t="s">
        <v>9</v>
      </c>
      <c r="F53" s="6" t="s">
        <v>12</v>
      </c>
    </row>
    <row r="54" spans="1:9" x14ac:dyDescent="0.25">
      <c r="B54" t="s">
        <v>5</v>
      </c>
      <c r="C54" t="s">
        <v>5</v>
      </c>
      <c r="D54" t="s">
        <v>10</v>
      </c>
      <c r="E54" t="s">
        <v>5</v>
      </c>
      <c r="F54" t="s">
        <v>10</v>
      </c>
    </row>
    <row r="55" spans="1:9" x14ac:dyDescent="0.25">
      <c r="A55" t="s">
        <v>7</v>
      </c>
      <c r="B55" s="3">
        <v>0</v>
      </c>
      <c r="C55" s="3">
        <v>0</v>
      </c>
      <c r="D55" s="3">
        <f t="shared" ref="D55:D65" si="2">SUM(B55:C55)</f>
        <v>0</v>
      </c>
      <c r="E55" s="3">
        <v>0</v>
      </c>
      <c r="F55" s="3">
        <f>SUM(D55:E55)</f>
        <v>0</v>
      </c>
    </row>
    <row r="56" spans="1:9" x14ac:dyDescent="0.25">
      <c r="A56" t="s">
        <v>11</v>
      </c>
      <c r="B56" s="3">
        <v>0</v>
      </c>
      <c r="C56" s="3">
        <f>$B$11</f>
        <v>9405.9405940594152</v>
      </c>
      <c r="D56" s="3">
        <f t="shared" si="2"/>
        <v>9405.9405940594152</v>
      </c>
      <c r="E56" s="3">
        <v>0</v>
      </c>
      <c r="F56" s="3">
        <f t="shared" ref="F56:F65" si="3">SUM(D56:E56)</f>
        <v>9405.9405940594152</v>
      </c>
    </row>
    <row r="57" spans="1:9" x14ac:dyDescent="0.25">
      <c r="A57" t="s">
        <v>13</v>
      </c>
      <c r="B57" s="3">
        <f>-$B$7</f>
        <v>50000</v>
      </c>
      <c r="C57" s="3">
        <v>0</v>
      </c>
      <c r="D57" s="3">
        <f t="shared" si="2"/>
        <v>50000</v>
      </c>
      <c r="E57" s="3">
        <v>0</v>
      </c>
      <c r="F57" s="3">
        <f t="shared" si="3"/>
        <v>50000</v>
      </c>
      <c r="H57" s="8" t="s">
        <v>24</v>
      </c>
    </row>
    <row r="58" spans="1:9" x14ac:dyDescent="0.25">
      <c r="A58" t="s">
        <v>49</v>
      </c>
      <c r="B58" s="3">
        <f>SUM(B55:B57)*$B$3</f>
        <v>500</v>
      </c>
      <c r="C58" s="3">
        <f>SUM(C55:C57)*$B$3</f>
        <v>94.059405940594147</v>
      </c>
      <c r="D58" s="3">
        <f t="shared" si="2"/>
        <v>594.05940594059416</v>
      </c>
      <c r="E58" s="3">
        <v>0</v>
      </c>
      <c r="F58" s="3">
        <f t="shared" si="3"/>
        <v>594.05940594059416</v>
      </c>
      <c r="H58" s="9" t="s">
        <v>19</v>
      </c>
      <c r="I58" s="9" t="s">
        <v>17</v>
      </c>
    </row>
    <row r="59" spans="1:9" x14ac:dyDescent="0.25">
      <c r="A59" t="s">
        <v>36</v>
      </c>
      <c r="B59" s="3">
        <f>-C8*H59</f>
        <v>-46291.666666666664</v>
      </c>
      <c r="C59" s="3">
        <v>0</v>
      </c>
      <c r="D59" s="3">
        <f t="shared" si="2"/>
        <v>-46291.666666666664</v>
      </c>
      <c r="E59" s="3">
        <v>0</v>
      </c>
      <c r="F59" s="3">
        <f t="shared" si="3"/>
        <v>-46291.666666666664</v>
      </c>
      <c r="H59" s="7">
        <f>SUM(B55:B58)/SUM($D$55:$D$58)</f>
        <v>0.84166666666666656</v>
      </c>
      <c r="I59" s="7">
        <f>SUM(C55:C58)/SUM($D$55:$D$58)</f>
        <v>0.15833333333333346</v>
      </c>
    </row>
    <row r="60" spans="1:9" x14ac:dyDescent="0.25">
      <c r="A60" t="s">
        <v>34</v>
      </c>
      <c r="B60" s="3">
        <v>0</v>
      </c>
      <c r="C60" s="3">
        <f>-$C$8*I59</f>
        <v>-8708.3333333333412</v>
      </c>
      <c r="D60" s="3">
        <f t="shared" si="2"/>
        <v>-8708.3333333333412</v>
      </c>
      <c r="E60" s="3">
        <v>0</v>
      </c>
      <c r="F60" s="3">
        <f t="shared" si="3"/>
        <v>-8708.3333333333412</v>
      </c>
    </row>
    <row r="61" spans="1:9" x14ac:dyDescent="0.25">
      <c r="A61" t="s">
        <v>35</v>
      </c>
      <c r="B61" s="3">
        <v>0</v>
      </c>
      <c r="C61" s="3">
        <v>0</v>
      </c>
      <c r="D61" s="3">
        <f t="shared" si="2"/>
        <v>0</v>
      </c>
      <c r="E61" s="3">
        <f>$C$8</f>
        <v>55000.000000000007</v>
      </c>
      <c r="F61" s="3">
        <f t="shared" si="3"/>
        <v>55000.000000000007</v>
      </c>
    </row>
    <row r="62" spans="1:9" x14ac:dyDescent="0.25">
      <c r="A62" t="s">
        <v>37</v>
      </c>
      <c r="B62" s="3">
        <f>-$C$9*H59</f>
        <v>-4208.333333333333</v>
      </c>
      <c r="C62" s="3">
        <v>0</v>
      </c>
      <c r="D62" s="3">
        <f t="shared" si="2"/>
        <v>-4208.333333333333</v>
      </c>
      <c r="E62" s="3">
        <v>0</v>
      </c>
      <c r="F62" s="3">
        <f t="shared" si="3"/>
        <v>-4208.333333333333</v>
      </c>
    </row>
    <row r="63" spans="1:9" x14ac:dyDescent="0.25">
      <c r="A63" t="s">
        <v>38</v>
      </c>
      <c r="B63" s="3">
        <v>0</v>
      </c>
      <c r="C63" s="3">
        <f>-$C$9*I59</f>
        <v>-791.66666666666731</v>
      </c>
      <c r="D63" s="3">
        <f t="shared" si="2"/>
        <v>-791.66666666666731</v>
      </c>
      <c r="E63" s="3">
        <v>0</v>
      </c>
      <c r="F63" s="3">
        <f t="shared" si="3"/>
        <v>-791.66666666666731</v>
      </c>
    </row>
    <row r="64" spans="1:9" x14ac:dyDescent="0.25">
      <c r="A64" t="s">
        <v>39</v>
      </c>
      <c r="B64" s="3">
        <v>0</v>
      </c>
      <c r="C64" s="3">
        <v>0</v>
      </c>
      <c r="D64" s="3">
        <f t="shared" ref="D64" si="4">SUM(B64:C64)</f>
        <v>0</v>
      </c>
      <c r="E64" s="3">
        <f>$C$9</f>
        <v>5000</v>
      </c>
      <c r="F64" s="3">
        <f t="shared" ref="F64" si="5">SUM(D64:E64)</f>
        <v>5000</v>
      </c>
    </row>
    <row r="65" spans="1:6" x14ac:dyDescent="0.25">
      <c r="A65" t="s">
        <v>54</v>
      </c>
      <c r="B65" s="4">
        <v>0</v>
      </c>
      <c r="C65" s="4">
        <v>0</v>
      </c>
      <c r="D65" s="4">
        <f t="shared" si="2"/>
        <v>0</v>
      </c>
      <c r="E65" s="4">
        <f>-$C$10</f>
        <v>-60000.000000000007</v>
      </c>
      <c r="F65" s="4">
        <f t="shared" si="3"/>
        <v>-60000.000000000007</v>
      </c>
    </row>
    <row r="66" spans="1:6" x14ac:dyDescent="0.25">
      <c r="A66" t="s">
        <v>21</v>
      </c>
      <c r="B66" s="3">
        <f>SUM(B55:B65)</f>
        <v>2.7284841053187847E-12</v>
      </c>
      <c r="C66" s="3">
        <f>SUM(C55:C65)</f>
        <v>5.6843418860808015E-13</v>
      </c>
      <c r="D66" s="3">
        <f>SUM(D55:D65)</f>
        <v>1.4779288903810084E-12</v>
      </c>
      <c r="E66" s="3">
        <f>SUM(E55:E65)</f>
        <v>0</v>
      </c>
      <c r="F66" s="3">
        <f>SUM(F55:F65)</f>
        <v>0</v>
      </c>
    </row>
    <row r="67" spans="1:6" x14ac:dyDescent="0.25">
      <c r="B67" s="3"/>
      <c r="C67" s="3"/>
      <c r="D67" s="3"/>
      <c r="E67" s="3"/>
      <c r="F67" s="3"/>
    </row>
    <row r="68" spans="1:6" ht="13" x14ac:dyDescent="0.3">
      <c r="A68" s="1" t="s">
        <v>27</v>
      </c>
      <c r="B68" s="3"/>
      <c r="C68" s="3"/>
      <c r="D68" s="3"/>
      <c r="E68" s="3"/>
      <c r="F68" s="3"/>
    </row>
    <row r="69" spans="1:6" x14ac:dyDescent="0.25">
      <c r="A69" t="s">
        <v>25</v>
      </c>
      <c r="B69" s="3"/>
      <c r="C69" s="3"/>
      <c r="D69" s="3"/>
      <c r="E69" s="3"/>
      <c r="F69" s="3"/>
    </row>
    <row r="70" spans="1:6" x14ac:dyDescent="0.25">
      <c r="A70" s="2" t="s">
        <v>40</v>
      </c>
      <c r="B70" s="4">
        <f>-B62</f>
        <v>4208.333333333333</v>
      </c>
      <c r="C70" s="3"/>
      <c r="D70" s="3"/>
      <c r="E70" s="3"/>
      <c r="F70" s="3"/>
    </row>
    <row r="71" spans="1:6" x14ac:dyDescent="0.25">
      <c r="B71" s="3">
        <f>SUM(B70:B70)</f>
        <v>4208.333333333333</v>
      </c>
      <c r="D71" s="3"/>
    </row>
    <row r="73" spans="1:6" x14ac:dyDescent="0.25">
      <c r="A73" t="s">
        <v>28</v>
      </c>
    </row>
    <row r="74" spans="1:6" x14ac:dyDescent="0.25">
      <c r="A74" s="2" t="s">
        <v>41</v>
      </c>
      <c r="B74" s="3">
        <f>-C63-E64</f>
        <v>-4208.333333333333</v>
      </c>
    </row>
    <row r="75" spans="1:6" x14ac:dyDescent="0.25">
      <c r="A75" s="2" t="s">
        <v>29</v>
      </c>
      <c r="B75" s="4">
        <f>-C56</f>
        <v>-9405.9405940594152</v>
      </c>
    </row>
    <row r="76" spans="1:6" x14ac:dyDescent="0.25">
      <c r="B76" s="3">
        <f>SUM(B74:B75)</f>
        <v>-13614.273927392747</v>
      </c>
    </row>
    <row r="77" spans="1:6" x14ac:dyDescent="0.25">
      <c r="B77" s="10"/>
    </row>
    <row r="78" spans="1:6" x14ac:dyDescent="0.25">
      <c r="A78" t="s">
        <v>31</v>
      </c>
      <c r="B78" s="3">
        <f>SUM(B71,B76)</f>
        <v>-9405.9405940594152</v>
      </c>
    </row>
    <row r="79" spans="1:6" x14ac:dyDescent="0.25">
      <c r="A79" t="s">
        <v>49</v>
      </c>
      <c r="B79" s="4">
        <f>-F58</f>
        <v>-594.05940594059416</v>
      </c>
    </row>
    <row r="80" spans="1:6" x14ac:dyDescent="0.25">
      <c r="B80" s="3">
        <f>SUM(B78:B79)</f>
        <v>-10000.000000000009</v>
      </c>
    </row>
    <row r="82" spans="1:9" ht="13" x14ac:dyDescent="0.3">
      <c r="A82" s="1" t="s">
        <v>44</v>
      </c>
    </row>
    <row r="83" spans="1:9" x14ac:dyDescent="0.25">
      <c r="A83" t="s">
        <v>45</v>
      </c>
      <c r="B83" s="3">
        <f>-$B$7</f>
        <v>50000</v>
      </c>
    </row>
    <row r="84" spans="1:9" x14ac:dyDescent="0.25">
      <c r="A84" t="s">
        <v>46</v>
      </c>
      <c r="B84" s="3">
        <f>B58</f>
        <v>500</v>
      </c>
    </row>
    <row r="85" spans="1:9" x14ac:dyDescent="0.25">
      <c r="A85" t="s">
        <v>47</v>
      </c>
      <c r="B85" s="4">
        <f>-$C$8</f>
        <v>-55000.000000000007</v>
      </c>
    </row>
    <row r="86" spans="1:9" x14ac:dyDescent="0.25">
      <c r="A86" t="s">
        <v>25</v>
      </c>
      <c r="B86" s="3">
        <f>SUM(B83:B85)</f>
        <v>-4500.0000000000073</v>
      </c>
      <c r="C86" t="str">
        <f>IF(B70=B86,"[Pass]","[Fail]")</f>
        <v>[Fail]</v>
      </c>
    </row>
    <row r="87" spans="1:9" x14ac:dyDescent="0.25">
      <c r="A87" t="s">
        <v>70</v>
      </c>
      <c r="B87" s="15">
        <f>MAX(B86,0)</f>
        <v>0</v>
      </c>
      <c r="C87" s="12" t="str">
        <f>IF(ROUND(B71,9)=ROUND(B87,9),"[Pass]","[Fail]")</f>
        <v>[Fail]</v>
      </c>
    </row>
    <row r="89" spans="1:9" ht="13" x14ac:dyDescent="0.3">
      <c r="A89" s="1" t="s">
        <v>73</v>
      </c>
    </row>
    <row r="90" spans="1:9" ht="13" x14ac:dyDescent="0.3">
      <c r="A90" s="1" t="s">
        <v>6</v>
      </c>
    </row>
    <row r="91" spans="1:9" ht="37.5" x14ac:dyDescent="0.25">
      <c r="B91" s="6" t="s">
        <v>16</v>
      </c>
      <c r="C91" s="6" t="s">
        <v>17</v>
      </c>
      <c r="D91" t="s">
        <v>8</v>
      </c>
      <c r="E91" t="s">
        <v>9</v>
      </c>
      <c r="F91" s="6" t="s">
        <v>12</v>
      </c>
    </row>
    <row r="92" spans="1:9" x14ac:dyDescent="0.25">
      <c r="B92" t="s">
        <v>5</v>
      </c>
      <c r="C92" t="s">
        <v>5</v>
      </c>
      <c r="D92" t="s">
        <v>10</v>
      </c>
      <c r="E92" t="s">
        <v>5</v>
      </c>
      <c r="F92" t="s">
        <v>10</v>
      </c>
    </row>
    <row r="93" spans="1:9" x14ac:dyDescent="0.25">
      <c r="A93" t="s">
        <v>7</v>
      </c>
      <c r="B93" s="3">
        <v>0</v>
      </c>
      <c r="C93" s="3">
        <v>0</v>
      </c>
      <c r="D93" s="3">
        <f t="shared" ref="D93:D103" si="6">SUM(B93:C93)</f>
        <v>0</v>
      </c>
      <c r="E93" s="3">
        <v>0</v>
      </c>
      <c r="F93" s="3">
        <f>SUM(D93:E93)</f>
        <v>0</v>
      </c>
    </row>
    <row r="94" spans="1:9" x14ac:dyDescent="0.25">
      <c r="A94" t="s">
        <v>11</v>
      </c>
      <c r="B94" s="3">
        <v>0</v>
      </c>
      <c r="C94" s="3">
        <f>$B$11</f>
        <v>9405.9405940594152</v>
      </c>
      <c r="D94" s="3">
        <f t="shared" si="6"/>
        <v>9405.9405940594152</v>
      </c>
      <c r="E94" s="3">
        <v>0</v>
      </c>
      <c r="F94" s="3">
        <f t="shared" ref="F94:F103" si="7">SUM(D94:E94)</f>
        <v>9405.9405940594152</v>
      </c>
    </row>
    <row r="95" spans="1:9" x14ac:dyDescent="0.25">
      <c r="A95" t="s">
        <v>13</v>
      </c>
      <c r="B95" s="3">
        <f>-$B$7</f>
        <v>50000</v>
      </c>
      <c r="C95" s="3">
        <v>0</v>
      </c>
      <c r="D95" s="3">
        <f t="shared" si="6"/>
        <v>50000</v>
      </c>
      <c r="E95" s="3">
        <v>0</v>
      </c>
      <c r="F95" s="3">
        <f t="shared" si="7"/>
        <v>50000</v>
      </c>
      <c r="H95" s="8" t="s">
        <v>48</v>
      </c>
    </row>
    <row r="96" spans="1:9" x14ac:dyDescent="0.25">
      <c r="A96" t="s">
        <v>49</v>
      </c>
      <c r="B96" s="3">
        <f>SUM(B93:B95)*$B$3</f>
        <v>500</v>
      </c>
      <c r="C96" s="3">
        <f>SUM(C93:C95)*$B$3</f>
        <v>94.059405940594147</v>
      </c>
      <c r="D96" s="3">
        <f t="shared" si="6"/>
        <v>594.05940594059416</v>
      </c>
      <c r="E96" s="3">
        <v>0</v>
      </c>
      <c r="F96" s="3">
        <f t="shared" si="7"/>
        <v>594.05940594059416</v>
      </c>
      <c r="H96" s="9" t="s">
        <v>19</v>
      </c>
      <c r="I96" s="9" t="s">
        <v>17</v>
      </c>
    </row>
    <row r="97" spans="1:9" x14ac:dyDescent="0.25">
      <c r="A97" t="s">
        <v>36</v>
      </c>
      <c r="B97" s="3">
        <f>-C8-C98</f>
        <v>-45500</v>
      </c>
      <c r="C97" s="3">
        <v>0</v>
      </c>
      <c r="D97" s="3">
        <f t="shared" si="6"/>
        <v>-45500</v>
      </c>
      <c r="E97" s="3">
        <v>0</v>
      </c>
      <c r="F97" s="3">
        <f t="shared" si="7"/>
        <v>-45500</v>
      </c>
      <c r="H97" s="7">
        <f>SUM(B93:B98)/SUM($D$93:$D$98)</f>
        <v>1.0000000000000004</v>
      </c>
      <c r="I97" s="7">
        <f>SUM(C93:C98)/SUM($D$93:$D$98)</f>
        <v>0</v>
      </c>
    </row>
    <row r="98" spans="1:9" x14ac:dyDescent="0.25">
      <c r="A98" t="s">
        <v>34</v>
      </c>
      <c r="B98" s="3">
        <v>0</v>
      </c>
      <c r="C98" s="3">
        <f>-SUM(C94:C97)</f>
        <v>-9500.0000000000091</v>
      </c>
      <c r="D98" s="3">
        <f t="shared" si="6"/>
        <v>-9500.0000000000091</v>
      </c>
      <c r="E98" s="3">
        <v>0</v>
      </c>
      <c r="F98" s="3">
        <f t="shared" si="7"/>
        <v>-9500.0000000000091</v>
      </c>
    </row>
    <row r="99" spans="1:9" x14ac:dyDescent="0.25">
      <c r="A99" t="s">
        <v>35</v>
      </c>
      <c r="B99" s="3">
        <v>0</v>
      </c>
      <c r="C99" s="3">
        <v>0</v>
      </c>
      <c r="D99" s="3">
        <f t="shared" si="6"/>
        <v>0</v>
      </c>
      <c r="E99" s="3">
        <f>$C$8</f>
        <v>55000.000000000007</v>
      </c>
      <c r="F99" s="3">
        <f t="shared" si="7"/>
        <v>55000.000000000007</v>
      </c>
    </row>
    <row r="100" spans="1:9" x14ac:dyDescent="0.25">
      <c r="A100" t="s">
        <v>37</v>
      </c>
      <c r="B100" s="3">
        <f>-C9*H97</f>
        <v>-5000.0000000000018</v>
      </c>
      <c r="C100" s="3">
        <v>0</v>
      </c>
      <c r="D100" s="3">
        <f t="shared" si="6"/>
        <v>-5000.0000000000018</v>
      </c>
      <c r="E100" s="3">
        <v>0</v>
      </c>
      <c r="F100" s="3">
        <f t="shared" si="7"/>
        <v>-5000.0000000000018</v>
      </c>
    </row>
    <row r="101" spans="1:9" x14ac:dyDescent="0.25">
      <c r="A101" t="s">
        <v>38</v>
      </c>
      <c r="B101" s="3">
        <v>0</v>
      </c>
      <c r="C101" s="3">
        <v>0</v>
      </c>
      <c r="D101" s="3">
        <f t="shared" si="6"/>
        <v>0</v>
      </c>
      <c r="E101" s="3">
        <v>0</v>
      </c>
      <c r="F101" s="3">
        <f t="shared" si="7"/>
        <v>0</v>
      </c>
    </row>
    <row r="102" spans="1:9" x14ac:dyDescent="0.25">
      <c r="A102" t="s">
        <v>39</v>
      </c>
      <c r="B102" s="3">
        <v>0</v>
      </c>
      <c r="C102" s="3">
        <v>0</v>
      </c>
      <c r="D102" s="3">
        <f t="shared" si="6"/>
        <v>0</v>
      </c>
      <c r="E102" s="3">
        <f>$C$9</f>
        <v>5000</v>
      </c>
      <c r="F102" s="3">
        <f t="shared" si="7"/>
        <v>5000</v>
      </c>
    </row>
    <row r="103" spans="1:9" x14ac:dyDescent="0.25">
      <c r="A103" t="s">
        <v>54</v>
      </c>
      <c r="B103" s="4">
        <v>0</v>
      </c>
      <c r="C103" s="4">
        <v>0</v>
      </c>
      <c r="D103" s="4">
        <f t="shared" si="6"/>
        <v>0</v>
      </c>
      <c r="E103" s="4">
        <f>-$C$10</f>
        <v>-60000.000000000007</v>
      </c>
      <c r="F103" s="4">
        <f t="shared" si="7"/>
        <v>-60000.000000000007</v>
      </c>
    </row>
    <row r="104" spans="1:9" x14ac:dyDescent="0.25">
      <c r="A104" t="s">
        <v>21</v>
      </c>
      <c r="B104" s="3">
        <f>SUM(B93:B103)</f>
        <v>-1.8189894035458565E-12</v>
      </c>
      <c r="C104" s="3">
        <f>SUM(C93:C103)</f>
        <v>0</v>
      </c>
      <c r="D104" s="3">
        <f>SUM(D93:D103)</f>
        <v>-3.637978807091713E-12</v>
      </c>
      <c r="E104" s="3">
        <f>SUM(E93:E103)</f>
        <v>0</v>
      </c>
      <c r="F104" s="3">
        <f>SUM(F93:F103)</f>
        <v>0</v>
      </c>
    </row>
    <row r="105" spans="1:9" x14ac:dyDescent="0.25">
      <c r="B105" s="3"/>
      <c r="C105" s="3"/>
      <c r="D105" s="3"/>
      <c r="E105" s="3"/>
      <c r="F105" s="3"/>
    </row>
    <row r="106" spans="1:9" ht="13" x14ac:dyDescent="0.3">
      <c r="A106" s="1" t="s">
        <v>27</v>
      </c>
      <c r="B106" s="3"/>
      <c r="C106" s="3"/>
      <c r="D106" s="3"/>
      <c r="E106" s="3"/>
      <c r="F106" s="3"/>
    </row>
    <row r="107" spans="1:9" x14ac:dyDescent="0.25">
      <c r="A107" t="s">
        <v>25</v>
      </c>
      <c r="B107" s="3"/>
      <c r="C107" s="3"/>
      <c r="D107" s="3"/>
      <c r="E107" s="3"/>
      <c r="F107" s="3"/>
    </row>
    <row r="108" spans="1:9" x14ac:dyDescent="0.25">
      <c r="A108" s="2" t="s">
        <v>40</v>
      </c>
      <c r="B108" s="4">
        <f>-B100</f>
        <v>5000.0000000000018</v>
      </c>
      <c r="C108" s="3"/>
      <c r="D108" s="3"/>
      <c r="E108" s="3"/>
      <c r="F108" s="3"/>
    </row>
    <row r="109" spans="1:9" x14ac:dyDescent="0.25">
      <c r="B109" s="3">
        <f>SUM(B108:B108)</f>
        <v>5000.0000000000018</v>
      </c>
      <c r="D109" s="3"/>
    </row>
    <row r="111" spans="1:9" x14ac:dyDescent="0.25">
      <c r="A111" t="s">
        <v>28</v>
      </c>
    </row>
    <row r="112" spans="1:9" x14ac:dyDescent="0.25">
      <c r="A112" s="2" t="s">
        <v>41</v>
      </c>
      <c r="B112" s="3">
        <f>-C101-E102</f>
        <v>-5000</v>
      </c>
    </row>
    <row r="113" spans="1:3" x14ac:dyDescent="0.25">
      <c r="A113" s="2" t="s">
        <v>29</v>
      </c>
      <c r="B113" s="4">
        <f>-C94</f>
        <v>-9405.9405940594152</v>
      </c>
    </row>
    <row r="114" spans="1:3" x14ac:dyDescent="0.25">
      <c r="B114" s="3">
        <f>SUM(B112:B113)</f>
        <v>-14405.940594059415</v>
      </c>
    </row>
    <row r="115" spans="1:3" x14ac:dyDescent="0.25">
      <c r="B115" s="10"/>
    </row>
    <row r="116" spans="1:3" x14ac:dyDescent="0.25">
      <c r="A116" t="s">
        <v>31</v>
      </c>
      <c r="B116" s="3">
        <f>SUM(B109,B114)</f>
        <v>-9405.9405940594133</v>
      </c>
    </row>
    <row r="117" spans="1:3" x14ac:dyDescent="0.25">
      <c r="A117" t="s">
        <v>49</v>
      </c>
      <c r="B117" s="4">
        <f>-F96</f>
        <v>-594.05940594059416</v>
      </c>
    </row>
    <row r="118" spans="1:3" x14ac:dyDescent="0.25">
      <c r="B118" s="3">
        <f>SUM(B116:B117)</f>
        <v>-10000.000000000007</v>
      </c>
    </row>
    <row r="120" spans="1:3" ht="13" x14ac:dyDescent="0.3">
      <c r="A120" s="1" t="s">
        <v>44</v>
      </c>
    </row>
    <row r="121" spans="1:3" x14ac:dyDescent="0.25">
      <c r="A121" t="s">
        <v>45</v>
      </c>
      <c r="B121" s="3">
        <f>-$B$7</f>
        <v>50000</v>
      </c>
    </row>
    <row r="122" spans="1:3" x14ac:dyDescent="0.25">
      <c r="A122" t="s">
        <v>46</v>
      </c>
      <c r="B122" s="3">
        <f>B96</f>
        <v>500</v>
      </c>
    </row>
    <row r="123" spans="1:3" x14ac:dyDescent="0.25">
      <c r="A123" t="s">
        <v>47</v>
      </c>
      <c r="B123" s="4">
        <f>-$C$8</f>
        <v>-55000.000000000007</v>
      </c>
    </row>
    <row r="124" spans="1:3" x14ac:dyDescent="0.25">
      <c r="A124" t="s">
        <v>25</v>
      </c>
      <c r="B124" s="3">
        <f>SUM(B121:B123)</f>
        <v>-4500.0000000000073</v>
      </c>
      <c r="C124" t="str">
        <f>IF(B108=B124,"[Pass]","[Fail]")</f>
        <v>[Fail]</v>
      </c>
    </row>
    <row r="125" spans="1:3" x14ac:dyDescent="0.25">
      <c r="A125" t="s">
        <v>70</v>
      </c>
      <c r="B125" s="15">
        <f>MAX(B124,0)</f>
        <v>0</v>
      </c>
      <c r="C125" s="12" t="str">
        <f>IF(ROUND(B109,9)=ROUND(B125,9),"[Pass]","[Fail]")</f>
        <v>[Fail]</v>
      </c>
    </row>
    <row r="127" spans="1:3" ht="13" x14ac:dyDescent="0.3">
      <c r="A127" s="22" t="s">
        <v>68</v>
      </c>
    </row>
    <row r="128" spans="1:3" ht="13" x14ac:dyDescent="0.3">
      <c r="A128" s="1" t="s">
        <v>6</v>
      </c>
    </row>
    <row r="129" spans="1:9" ht="37.5" x14ac:dyDescent="0.25">
      <c r="B129" s="6" t="s">
        <v>16</v>
      </c>
      <c r="C129" s="6" t="s">
        <v>17</v>
      </c>
      <c r="D129" t="s">
        <v>8</v>
      </c>
      <c r="E129" t="s">
        <v>9</v>
      </c>
      <c r="F129" s="6" t="s">
        <v>12</v>
      </c>
    </row>
    <row r="130" spans="1:9" x14ac:dyDescent="0.25">
      <c r="B130" t="s">
        <v>5</v>
      </c>
      <c r="C130" t="s">
        <v>5</v>
      </c>
      <c r="D130" t="s">
        <v>10</v>
      </c>
      <c r="E130" t="s">
        <v>5</v>
      </c>
      <c r="F130" t="s">
        <v>10</v>
      </c>
    </row>
    <row r="131" spans="1:9" x14ac:dyDescent="0.25">
      <c r="A131" t="s">
        <v>7</v>
      </c>
      <c r="B131" s="3">
        <v>0</v>
      </c>
      <c r="C131" s="3">
        <v>0</v>
      </c>
      <c r="D131" s="3">
        <f t="shared" ref="D131:D141" si="8">SUM(B131:C131)</f>
        <v>0</v>
      </c>
      <c r="E131" s="3">
        <v>0</v>
      </c>
      <c r="F131" s="3">
        <f>SUM(D131:E131)</f>
        <v>0</v>
      </c>
    </row>
    <row r="132" spans="1:9" x14ac:dyDescent="0.25">
      <c r="A132" t="s">
        <v>11</v>
      </c>
      <c r="B132" s="3">
        <v>0</v>
      </c>
      <c r="C132" s="3">
        <f>$B$11</f>
        <v>9405.9405940594152</v>
      </c>
      <c r="D132" s="3">
        <f t="shared" si="8"/>
        <v>9405.9405940594152</v>
      </c>
      <c r="E132" s="3">
        <v>0</v>
      </c>
      <c r="F132" s="3">
        <f t="shared" ref="F132:F141" si="9">SUM(D132:E132)</f>
        <v>9405.9405940594152</v>
      </c>
    </row>
    <row r="133" spans="1:9" x14ac:dyDescent="0.25">
      <c r="A133" t="s">
        <v>13</v>
      </c>
      <c r="B133" s="3">
        <f>-$B$7</f>
        <v>50000</v>
      </c>
      <c r="C133" s="3">
        <v>0</v>
      </c>
      <c r="D133" s="3">
        <f t="shared" si="8"/>
        <v>50000</v>
      </c>
      <c r="E133" s="3">
        <v>0</v>
      </c>
      <c r="F133" s="3">
        <f t="shared" si="9"/>
        <v>50000</v>
      </c>
      <c r="H133" s="8" t="s">
        <v>48</v>
      </c>
    </row>
    <row r="134" spans="1:9" x14ac:dyDescent="0.25">
      <c r="A134" t="s">
        <v>49</v>
      </c>
      <c r="B134" s="3">
        <f>SUM(B131:B133)*$B$3</f>
        <v>500</v>
      </c>
      <c r="C134" s="3">
        <f>SUM(C131:C133)*$B$3</f>
        <v>94.059405940594147</v>
      </c>
      <c r="D134" s="3">
        <f t="shared" si="8"/>
        <v>594.05940594059416</v>
      </c>
      <c r="E134" s="3">
        <v>0</v>
      </c>
      <c r="F134" s="3">
        <f t="shared" si="9"/>
        <v>594.05940594059416</v>
      </c>
      <c r="H134" s="9" t="s">
        <v>19</v>
      </c>
      <c r="I134" s="9" t="s">
        <v>17</v>
      </c>
    </row>
    <row r="135" spans="1:9" x14ac:dyDescent="0.25">
      <c r="A135" t="s">
        <v>36</v>
      </c>
      <c r="B135" s="3">
        <f>B7*(1+B3)</f>
        <v>-50500</v>
      </c>
      <c r="C135" s="3">
        <v>0</v>
      </c>
      <c r="D135" s="3">
        <f t="shared" si="8"/>
        <v>-50500</v>
      </c>
      <c r="E135" s="3">
        <v>0</v>
      </c>
      <c r="F135" s="3">
        <f t="shared" si="9"/>
        <v>-50500</v>
      </c>
      <c r="H135" s="7">
        <f>SUM(B131:B136)/SUM($D$93:$D$98)</f>
        <v>0</v>
      </c>
      <c r="I135" s="7">
        <f>SUM(C131:C136)/SUM($D$93:$D$98)</f>
        <v>1.0000000000000007</v>
      </c>
    </row>
    <row r="136" spans="1:9" x14ac:dyDescent="0.25">
      <c r="A136" t="s">
        <v>34</v>
      </c>
      <c r="B136" s="3"/>
      <c r="C136" s="3">
        <f>-C8-B135</f>
        <v>-4500.0000000000073</v>
      </c>
      <c r="D136" s="3">
        <f t="shared" si="8"/>
        <v>-4500.0000000000073</v>
      </c>
      <c r="E136" s="3">
        <v>0</v>
      </c>
      <c r="F136" s="3">
        <f t="shared" si="9"/>
        <v>-4500.0000000000073</v>
      </c>
    </row>
    <row r="137" spans="1:9" x14ac:dyDescent="0.25">
      <c r="A137" t="s">
        <v>35</v>
      </c>
      <c r="B137" s="3">
        <v>0</v>
      </c>
      <c r="C137" s="3">
        <v>0</v>
      </c>
      <c r="D137" s="3">
        <f t="shared" si="8"/>
        <v>0</v>
      </c>
      <c r="E137" s="3">
        <f>$C$8</f>
        <v>55000.000000000007</v>
      </c>
      <c r="F137" s="3">
        <f t="shared" si="9"/>
        <v>55000.000000000007</v>
      </c>
    </row>
    <row r="138" spans="1:9" x14ac:dyDescent="0.25">
      <c r="A138" t="s">
        <v>37</v>
      </c>
      <c r="B138" s="3">
        <f>-C46*H135</f>
        <v>0</v>
      </c>
      <c r="C138" s="3">
        <v>0</v>
      </c>
      <c r="D138" s="3">
        <f t="shared" si="8"/>
        <v>0</v>
      </c>
      <c r="E138" s="3">
        <v>0</v>
      </c>
      <c r="F138" s="3">
        <f t="shared" si="9"/>
        <v>0</v>
      </c>
    </row>
    <row r="139" spans="1:9" x14ac:dyDescent="0.25">
      <c r="A139" t="s">
        <v>38</v>
      </c>
      <c r="B139" s="3">
        <f>-C9*H135</f>
        <v>0</v>
      </c>
      <c r="C139" s="3">
        <f>-C9*I135</f>
        <v>-5000.0000000000036</v>
      </c>
      <c r="D139" s="3">
        <f t="shared" si="8"/>
        <v>-5000.0000000000036</v>
      </c>
      <c r="E139" s="3">
        <v>0</v>
      </c>
      <c r="F139" s="3">
        <f t="shared" si="9"/>
        <v>-5000.0000000000036</v>
      </c>
    </row>
    <row r="140" spans="1:9" x14ac:dyDescent="0.25">
      <c r="A140" t="s">
        <v>39</v>
      </c>
      <c r="B140" s="3">
        <v>0</v>
      </c>
      <c r="C140" s="3">
        <v>0</v>
      </c>
      <c r="D140" s="3">
        <f t="shared" si="8"/>
        <v>0</v>
      </c>
      <c r="E140" s="3">
        <f>$C$9</f>
        <v>5000</v>
      </c>
      <c r="F140" s="3">
        <f t="shared" si="9"/>
        <v>5000</v>
      </c>
    </row>
    <row r="141" spans="1:9" x14ac:dyDescent="0.25">
      <c r="A141" t="s">
        <v>54</v>
      </c>
      <c r="B141" s="4">
        <v>0</v>
      </c>
      <c r="C141" s="4">
        <v>0</v>
      </c>
      <c r="D141" s="4">
        <f t="shared" si="8"/>
        <v>0</v>
      </c>
      <c r="E141" s="4">
        <f>-$C$10</f>
        <v>-60000.000000000007</v>
      </c>
      <c r="F141" s="4">
        <f t="shared" si="9"/>
        <v>-60000.000000000007</v>
      </c>
    </row>
    <row r="142" spans="1:9" x14ac:dyDescent="0.25">
      <c r="A142" t="s">
        <v>21</v>
      </c>
      <c r="B142" s="3">
        <f>SUM(B131:B141)</f>
        <v>0</v>
      </c>
      <c r="C142" s="3">
        <f>SUM(C131:C141)</f>
        <v>-1.8189894035458565E-12</v>
      </c>
      <c r="D142" s="3">
        <f>SUM(D131:D141)</f>
        <v>-3.637978807091713E-12</v>
      </c>
      <c r="E142" s="3">
        <f>SUM(E131:E141)</f>
        <v>0</v>
      </c>
      <c r="F142" s="3">
        <f>SUM(F131:F141)</f>
        <v>0</v>
      </c>
    </row>
    <row r="143" spans="1:9" x14ac:dyDescent="0.25">
      <c r="B143" s="3"/>
      <c r="C143" s="3"/>
      <c r="D143" s="3"/>
      <c r="E143" s="3"/>
      <c r="F143" s="3"/>
    </row>
    <row r="144" spans="1:9" ht="13" x14ac:dyDescent="0.3">
      <c r="A144" s="1" t="s">
        <v>27</v>
      </c>
      <c r="B144" s="3"/>
      <c r="C144" s="3"/>
      <c r="D144" s="3"/>
      <c r="E144" s="3"/>
      <c r="F144" s="3"/>
    </row>
    <row r="145" spans="1:6" x14ac:dyDescent="0.25">
      <c r="A145" t="s">
        <v>25</v>
      </c>
      <c r="B145" s="3"/>
      <c r="C145" s="3"/>
      <c r="D145" s="3"/>
      <c r="E145" s="3"/>
      <c r="F145" s="3"/>
    </row>
    <row r="146" spans="1:6" x14ac:dyDescent="0.25">
      <c r="A146" s="2" t="s">
        <v>40</v>
      </c>
      <c r="B146" s="4">
        <f>-B138</f>
        <v>0</v>
      </c>
      <c r="C146" s="3"/>
      <c r="D146" s="3"/>
      <c r="E146" s="3"/>
      <c r="F146" s="3"/>
    </row>
    <row r="147" spans="1:6" x14ac:dyDescent="0.25">
      <c r="B147" s="3">
        <f>SUM(B146:B146)</f>
        <v>0</v>
      </c>
      <c r="D147" s="3"/>
    </row>
    <row r="149" spans="1:6" x14ac:dyDescent="0.25">
      <c r="A149" t="s">
        <v>28</v>
      </c>
    </row>
    <row r="150" spans="1:6" x14ac:dyDescent="0.25">
      <c r="A150" s="2" t="s">
        <v>41</v>
      </c>
      <c r="B150" s="3">
        <f>-C139-E140</f>
        <v>0</v>
      </c>
    </row>
    <row r="151" spans="1:6" x14ac:dyDescent="0.25">
      <c r="A151" s="2" t="s">
        <v>29</v>
      </c>
      <c r="B151" s="4">
        <f>-C132</f>
        <v>-9405.9405940594152</v>
      </c>
    </row>
    <row r="152" spans="1:6" x14ac:dyDescent="0.25">
      <c r="B152" s="3">
        <f>SUM(B150:B151)</f>
        <v>-9405.9405940594152</v>
      </c>
    </row>
    <row r="153" spans="1:6" x14ac:dyDescent="0.25">
      <c r="B153" s="10"/>
    </row>
    <row r="154" spans="1:6" x14ac:dyDescent="0.25">
      <c r="A154" t="s">
        <v>31</v>
      </c>
      <c r="B154" s="3">
        <f>SUM(B147,B152)</f>
        <v>-9405.9405940594152</v>
      </c>
    </row>
    <row r="155" spans="1:6" x14ac:dyDescent="0.25">
      <c r="A155" t="s">
        <v>49</v>
      </c>
      <c r="B155" s="4">
        <f>-F134</f>
        <v>-594.05940594059416</v>
      </c>
    </row>
    <row r="156" spans="1:6" x14ac:dyDescent="0.25">
      <c r="B156" s="3">
        <f>SUM(B154:B155)</f>
        <v>-10000.000000000009</v>
      </c>
    </row>
    <row r="158" spans="1:6" ht="13" x14ac:dyDescent="0.3">
      <c r="A158" s="1" t="s">
        <v>44</v>
      </c>
    </row>
    <row r="159" spans="1:6" x14ac:dyDescent="0.25">
      <c r="A159" t="s">
        <v>45</v>
      </c>
      <c r="B159" s="3">
        <f>-$B$7</f>
        <v>50000</v>
      </c>
    </row>
    <row r="160" spans="1:6" x14ac:dyDescent="0.25">
      <c r="A160" t="s">
        <v>46</v>
      </c>
      <c r="B160" s="3">
        <f>B134</f>
        <v>500</v>
      </c>
    </row>
    <row r="161" spans="1:3" x14ac:dyDescent="0.25">
      <c r="A161" t="s">
        <v>47</v>
      </c>
      <c r="B161" s="4">
        <f>-$C$8</f>
        <v>-55000.000000000007</v>
      </c>
    </row>
    <row r="162" spans="1:3" x14ac:dyDescent="0.25">
      <c r="A162" t="s">
        <v>25</v>
      </c>
      <c r="B162" s="3">
        <f>SUM(B159:B161)</f>
        <v>-4500.0000000000073</v>
      </c>
      <c r="C162" t="str">
        <f>IF(B146=B162,"[Pass]","[Fail]")</f>
        <v>[Fail]</v>
      </c>
    </row>
    <row r="163" spans="1:3" x14ac:dyDescent="0.25">
      <c r="A163" t="s">
        <v>70</v>
      </c>
      <c r="B163" s="15">
        <f>MAX(B162,0)</f>
        <v>0</v>
      </c>
      <c r="C163" s="12" t="str">
        <f>IF(ROUND(B147,9)=ROUND(B163,9),"[Pass]","[Fail]")</f>
        <v>[Pass]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workbookViewId="0"/>
  </sheetViews>
  <sheetFormatPr defaultRowHeight="12.5" x14ac:dyDescent="0.25"/>
  <cols>
    <col min="1" max="1" width="69.453125" customWidth="1"/>
    <col min="2" max="2" width="9.1796875" style="12" customWidth="1"/>
    <col min="3" max="4" width="9.1796875" style="12"/>
  </cols>
  <sheetData>
    <row r="1" spans="1:6" ht="13" x14ac:dyDescent="0.3">
      <c r="A1" s="1" t="s">
        <v>0</v>
      </c>
    </row>
    <row r="3" spans="1:6" x14ac:dyDescent="0.25">
      <c r="A3" t="s">
        <v>4</v>
      </c>
      <c r="B3" s="18">
        <v>0.01</v>
      </c>
    </row>
    <row r="5" spans="1:6" x14ac:dyDescent="0.25">
      <c r="A5" t="s">
        <v>1</v>
      </c>
      <c r="B5" s="12">
        <v>0</v>
      </c>
      <c r="C5" s="12">
        <v>1</v>
      </c>
      <c r="D5" s="12">
        <v>2</v>
      </c>
    </row>
    <row r="6" spans="1:6" x14ac:dyDescent="0.25">
      <c r="A6" t="s">
        <v>53</v>
      </c>
    </row>
    <row r="7" spans="1:6" x14ac:dyDescent="0.25">
      <c r="A7" s="2" t="s">
        <v>2</v>
      </c>
      <c r="B7" s="15">
        <f>-5000*10</f>
        <v>-50000</v>
      </c>
      <c r="C7" s="15"/>
      <c r="D7" s="15"/>
    </row>
    <row r="8" spans="1:6" x14ac:dyDescent="0.25">
      <c r="A8" s="2" t="s">
        <v>3</v>
      </c>
      <c r="B8" s="15">
        <f>100*10</f>
        <v>1000</v>
      </c>
      <c r="C8" s="15"/>
      <c r="D8" s="15"/>
    </row>
    <row r="9" spans="1:6" x14ac:dyDescent="0.25">
      <c r="A9" s="2" t="s">
        <v>42</v>
      </c>
      <c r="B9" s="15"/>
      <c r="C9" s="15">
        <f>5000*1.035*2</f>
        <v>10350</v>
      </c>
      <c r="D9" s="15">
        <f>5000*1.035^2*8</f>
        <v>42848.999999999993</v>
      </c>
    </row>
    <row r="10" spans="1:6" x14ac:dyDescent="0.25">
      <c r="A10" s="2" t="s">
        <v>51</v>
      </c>
      <c r="B10" s="15"/>
      <c r="C10" s="15">
        <f>5000*1.035*5%*2</f>
        <v>517.5</v>
      </c>
      <c r="D10" s="15">
        <f>5000*1.035^2*5%*2</f>
        <v>535.61249999999995</v>
      </c>
    </row>
    <row r="11" spans="1:6" x14ac:dyDescent="0.25">
      <c r="A11" s="2" t="s">
        <v>52</v>
      </c>
      <c r="B11" s="17"/>
      <c r="C11" s="17">
        <v>100</v>
      </c>
      <c r="D11" s="17">
        <v>100</v>
      </c>
    </row>
    <row r="12" spans="1:6" x14ac:dyDescent="0.25">
      <c r="B12" s="15">
        <f>SUM(B7:B11)</f>
        <v>-49000</v>
      </c>
      <c r="C12" s="15">
        <f>SUM(C7:C11)</f>
        <v>10967.5</v>
      </c>
      <c r="D12" s="15">
        <f>SUM(D7:D11)</f>
        <v>43484.612499999996</v>
      </c>
    </row>
    <row r="13" spans="1:6" x14ac:dyDescent="0.25">
      <c r="A13" t="s">
        <v>5</v>
      </c>
      <c r="B13" s="15">
        <f>NPV(B3,C12:D12)+B12</f>
        <v>4486.7047348299166</v>
      </c>
    </row>
    <row r="15" spans="1:6" ht="13" x14ac:dyDescent="0.3">
      <c r="A15" s="1" t="s">
        <v>66</v>
      </c>
    </row>
    <row r="16" spans="1:6" ht="37.5" x14ac:dyDescent="0.25">
      <c r="B16" s="19" t="s">
        <v>16</v>
      </c>
      <c r="C16" s="19" t="s">
        <v>17</v>
      </c>
      <c r="D16" s="12" t="s">
        <v>8</v>
      </c>
      <c r="E16" t="s">
        <v>9</v>
      </c>
      <c r="F16" s="6" t="s">
        <v>12</v>
      </c>
    </row>
    <row r="17" spans="1:9" x14ac:dyDescent="0.25">
      <c r="B17" s="12" t="s">
        <v>5</v>
      </c>
      <c r="C17" s="12" t="s">
        <v>5</v>
      </c>
      <c r="D17" s="12" t="s">
        <v>10</v>
      </c>
      <c r="E17" t="s">
        <v>5</v>
      </c>
      <c r="F17" t="s">
        <v>10</v>
      </c>
    </row>
    <row r="18" spans="1:9" x14ac:dyDescent="0.25">
      <c r="A18" t="s">
        <v>7</v>
      </c>
      <c r="B18" s="15">
        <v>0</v>
      </c>
      <c r="C18" s="15">
        <v>0</v>
      </c>
      <c r="D18" s="15">
        <f t="shared" ref="D18:D31" si="0">SUM(B18:C18)</f>
        <v>0</v>
      </c>
      <c r="E18" s="3">
        <v>0</v>
      </c>
      <c r="F18" s="3">
        <f>SUM(D18:E18)</f>
        <v>0</v>
      </c>
    </row>
    <row r="19" spans="1:9" x14ac:dyDescent="0.25">
      <c r="A19" t="s">
        <v>11</v>
      </c>
      <c r="B19" s="15">
        <v>0</v>
      </c>
      <c r="C19" s="15">
        <f>$B$13</f>
        <v>4486.7047348299166</v>
      </c>
      <c r="D19" s="15">
        <f t="shared" si="0"/>
        <v>4486.7047348299166</v>
      </c>
      <c r="E19" s="3">
        <v>0</v>
      </c>
      <c r="F19" s="3">
        <f t="shared" ref="F19:F31" si="1">SUM(D19:E19)</f>
        <v>4486.7047348299166</v>
      </c>
    </row>
    <row r="20" spans="1:9" x14ac:dyDescent="0.25">
      <c r="A20" t="s">
        <v>13</v>
      </c>
      <c r="B20" s="15">
        <f>-$B$7</f>
        <v>50000</v>
      </c>
      <c r="C20" s="15">
        <v>0</v>
      </c>
      <c r="D20" s="15">
        <f t="shared" si="0"/>
        <v>50000</v>
      </c>
      <c r="E20" s="3">
        <v>0</v>
      </c>
      <c r="F20" s="3">
        <f t="shared" si="1"/>
        <v>50000</v>
      </c>
    </row>
    <row r="21" spans="1:9" x14ac:dyDescent="0.25">
      <c r="A21" t="s">
        <v>18</v>
      </c>
      <c r="B21" s="15">
        <f>-$B$8</f>
        <v>-1000</v>
      </c>
      <c r="C21" s="15">
        <v>0</v>
      </c>
      <c r="D21" s="15">
        <f t="shared" si="0"/>
        <v>-1000</v>
      </c>
      <c r="E21" s="3">
        <v>0</v>
      </c>
      <c r="F21" s="3">
        <f t="shared" si="1"/>
        <v>-1000</v>
      </c>
      <c r="H21" s="8" t="s">
        <v>48</v>
      </c>
    </row>
    <row r="22" spans="1:9" x14ac:dyDescent="0.25">
      <c r="A22" t="s">
        <v>49</v>
      </c>
      <c r="B22" s="15">
        <f>SUM(B18:B21)*$B$3</f>
        <v>490</v>
      </c>
      <c r="C22" s="15">
        <f>SUM(C18:C21)*$B$3</f>
        <v>44.867047348299167</v>
      </c>
      <c r="D22" s="15">
        <f t="shared" si="0"/>
        <v>534.86704734829914</v>
      </c>
      <c r="E22" s="3">
        <v>0</v>
      </c>
      <c r="F22" s="3">
        <f t="shared" si="1"/>
        <v>534.86704734829914</v>
      </c>
      <c r="H22" s="9" t="s">
        <v>19</v>
      </c>
      <c r="I22" s="9" t="s">
        <v>17</v>
      </c>
    </row>
    <row r="23" spans="1:9" x14ac:dyDescent="0.25">
      <c r="A23" t="s">
        <v>36</v>
      </c>
      <c r="B23" s="15">
        <f>-C9</f>
        <v>-10350</v>
      </c>
      <c r="C23" s="15">
        <v>0</v>
      </c>
      <c r="D23" s="15">
        <f t="shared" si="0"/>
        <v>-10350</v>
      </c>
      <c r="E23" s="3">
        <v>0</v>
      </c>
      <c r="F23" s="3">
        <f t="shared" si="1"/>
        <v>-10350</v>
      </c>
      <c r="G23" s="12"/>
      <c r="H23" s="13">
        <f>SUM(B18:B23)/SUM($D$18:$D$23)</f>
        <v>0.89623520296497572</v>
      </c>
      <c r="I23" s="13">
        <f>SUM(C18:C23)/SUM($D$18:$D$23)</f>
        <v>0.10376479703502427</v>
      </c>
    </row>
    <row r="24" spans="1:9" x14ac:dyDescent="0.25">
      <c r="A24" t="s">
        <v>34</v>
      </c>
      <c r="B24" s="15">
        <v>0</v>
      </c>
      <c r="C24" s="15">
        <v>0</v>
      </c>
      <c r="D24" s="15">
        <f t="shared" si="0"/>
        <v>0</v>
      </c>
      <c r="E24" s="3">
        <v>0</v>
      </c>
      <c r="F24" s="3">
        <f t="shared" si="1"/>
        <v>0</v>
      </c>
    </row>
    <row r="25" spans="1:9" x14ac:dyDescent="0.25">
      <c r="A25" t="s">
        <v>35</v>
      </c>
      <c r="B25" s="15">
        <v>0</v>
      </c>
      <c r="C25" s="15">
        <v>0</v>
      </c>
      <c r="D25" s="15">
        <f t="shared" si="0"/>
        <v>0</v>
      </c>
      <c r="E25" s="3">
        <f>$C$9</f>
        <v>10350</v>
      </c>
      <c r="F25" s="3">
        <f t="shared" si="1"/>
        <v>10350</v>
      </c>
    </row>
    <row r="26" spans="1:9" x14ac:dyDescent="0.25">
      <c r="A26" t="s">
        <v>37</v>
      </c>
      <c r="B26" s="15">
        <f>-SUM($C$10:$C$11)*H23</f>
        <v>-553.42523783087256</v>
      </c>
      <c r="C26" s="15">
        <v>0</v>
      </c>
      <c r="D26" s="15">
        <f t="shared" si="0"/>
        <v>-553.42523783087256</v>
      </c>
      <c r="E26" s="3">
        <v>0</v>
      </c>
      <c r="F26" s="3">
        <f t="shared" si="1"/>
        <v>-553.42523783087256</v>
      </c>
    </row>
    <row r="27" spans="1:9" x14ac:dyDescent="0.25">
      <c r="A27" t="s">
        <v>38</v>
      </c>
      <c r="B27" s="15">
        <v>0</v>
      </c>
      <c r="C27" s="15">
        <f>-SUM($C$10:$C$11)*I23</f>
        <v>-64.074762169127482</v>
      </c>
      <c r="D27" s="15">
        <f t="shared" si="0"/>
        <v>-64.074762169127482</v>
      </c>
      <c r="E27" s="3">
        <v>0</v>
      </c>
      <c r="F27" s="3">
        <f t="shared" si="1"/>
        <v>-64.074762169127482</v>
      </c>
    </row>
    <row r="28" spans="1:9" x14ac:dyDescent="0.25">
      <c r="A28" t="s">
        <v>39</v>
      </c>
      <c r="B28" s="15">
        <v>0</v>
      </c>
      <c r="C28" s="15">
        <v>0</v>
      </c>
      <c r="D28" s="15">
        <f t="shared" si="0"/>
        <v>0</v>
      </c>
      <c r="E28" s="3">
        <f>SUM($C$10:$C$11)</f>
        <v>617.5</v>
      </c>
      <c r="F28" s="3">
        <f t="shared" si="1"/>
        <v>617.5</v>
      </c>
    </row>
    <row r="29" spans="1:9" x14ac:dyDescent="0.25">
      <c r="A29" t="s">
        <v>54</v>
      </c>
      <c r="B29" s="16">
        <v>0</v>
      </c>
      <c r="C29" s="16">
        <v>0</v>
      </c>
      <c r="D29" s="16">
        <f t="shared" si="0"/>
        <v>0</v>
      </c>
      <c r="E29" s="11">
        <f>-$C$12</f>
        <v>-10967.5</v>
      </c>
      <c r="F29" s="11">
        <f t="shared" si="1"/>
        <v>-10967.5</v>
      </c>
    </row>
    <row r="30" spans="1:9" x14ac:dyDescent="0.25">
      <c r="A30" t="s">
        <v>22</v>
      </c>
      <c r="B30" s="16">
        <f>-B8*10/(10+8)</f>
        <v>-555.55555555555554</v>
      </c>
      <c r="C30" s="16">
        <v>0</v>
      </c>
      <c r="D30" s="16">
        <f t="shared" si="0"/>
        <v>-555.55555555555554</v>
      </c>
      <c r="E30" s="11">
        <v>0</v>
      </c>
      <c r="F30" s="11">
        <f t="shared" si="1"/>
        <v>-555.55555555555554</v>
      </c>
    </row>
    <row r="31" spans="1:9" x14ac:dyDescent="0.25">
      <c r="A31" t="s">
        <v>23</v>
      </c>
      <c r="B31" s="17">
        <f>-B30</f>
        <v>555.55555555555554</v>
      </c>
      <c r="C31" s="17">
        <v>0</v>
      </c>
      <c r="D31" s="17">
        <f t="shared" si="0"/>
        <v>555.55555555555554</v>
      </c>
      <c r="E31" s="4">
        <v>0</v>
      </c>
      <c r="F31" s="4">
        <f t="shared" si="1"/>
        <v>555.55555555555554</v>
      </c>
    </row>
    <row r="32" spans="1:9" x14ac:dyDescent="0.25">
      <c r="A32" t="s">
        <v>21</v>
      </c>
      <c r="B32" s="16">
        <f>SUM(B18:B31)</f>
        <v>38586.574762169126</v>
      </c>
      <c r="C32" s="16">
        <f t="shared" ref="C32:F32" si="2">SUM(C18:C31)</f>
        <v>4467.4970200090884</v>
      </c>
      <c r="D32" s="16">
        <f t="shared" si="2"/>
        <v>43054.071782178216</v>
      </c>
      <c r="E32" s="11">
        <f t="shared" si="2"/>
        <v>0</v>
      </c>
      <c r="F32" s="11">
        <f t="shared" si="2"/>
        <v>43054.071782178216</v>
      </c>
    </row>
    <row r="33" spans="1:9" x14ac:dyDescent="0.25">
      <c r="A33" t="s">
        <v>49</v>
      </c>
      <c r="B33" s="16">
        <f>SUM(B32)*$B$3</f>
        <v>385.8657476216913</v>
      </c>
      <c r="C33" s="16">
        <f>SUM(C32)*$B$3</f>
        <v>44.674970200090883</v>
      </c>
      <c r="D33" s="16">
        <f t="shared" ref="D33:D42" si="3">SUM(B33:C33)</f>
        <v>430.54071782178221</v>
      </c>
      <c r="E33" s="11">
        <v>0</v>
      </c>
      <c r="F33" s="11">
        <f t="shared" ref="F33:F42" si="4">SUM(D33:E33)</f>
        <v>430.54071782178221</v>
      </c>
      <c r="H33" s="9" t="s">
        <v>19</v>
      </c>
      <c r="I33" s="9" t="s">
        <v>17</v>
      </c>
    </row>
    <row r="34" spans="1:9" x14ac:dyDescent="0.25">
      <c r="A34" t="s">
        <v>36</v>
      </c>
      <c r="B34" s="16">
        <f>-D9</f>
        <v>-42848.999999999993</v>
      </c>
      <c r="C34" s="16">
        <v>0</v>
      </c>
      <c r="D34" s="16">
        <f t="shared" si="3"/>
        <v>-42848.999999999993</v>
      </c>
      <c r="E34" s="11">
        <v>0</v>
      </c>
      <c r="F34" s="11">
        <f t="shared" si="4"/>
        <v>-42848.999999999993</v>
      </c>
      <c r="H34" s="13">
        <f>SUM(B32:B34)/SUM($D$32:$D$34)</f>
        <v>-6.0989352635594143</v>
      </c>
      <c r="I34" s="13">
        <f>SUM(C32:C34)/SUM($D$32:$D$34)</f>
        <v>7.0989352635594143</v>
      </c>
    </row>
    <row r="35" spans="1:9" x14ac:dyDescent="0.25">
      <c r="A35" t="s">
        <v>34</v>
      </c>
      <c r="B35" s="16">
        <v>0</v>
      </c>
      <c r="C35" s="16">
        <v>0</v>
      </c>
      <c r="D35" s="16">
        <f t="shared" si="3"/>
        <v>0</v>
      </c>
      <c r="E35" s="11">
        <v>0</v>
      </c>
      <c r="F35" s="11">
        <f t="shared" si="4"/>
        <v>0</v>
      </c>
    </row>
    <row r="36" spans="1:9" x14ac:dyDescent="0.25">
      <c r="A36" t="s">
        <v>35</v>
      </c>
      <c r="B36" s="16">
        <v>0</v>
      </c>
      <c r="C36" s="16">
        <v>0</v>
      </c>
      <c r="D36" s="16">
        <f t="shared" si="3"/>
        <v>0</v>
      </c>
      <c r="E36" s="11">
        <f>$D$9</f>
        <v>42848.999999999993</v>
      </c>
      <c r="F36" s="11">
        <f t="shared" si="4"/>
        <v>42848.999999999993</v>
      </c>
    </row>
    <row r="37" spans="1:9" x14ac:dyDescent="0.25">
      <c r="A37" t="s">
        <v>37</v>
      </c>
      <c r="B37" s="16">
        <f>-SUM($D$10:$D$11)*H34</f>
        <v>3876.559490209158</v>
      </c>
      <c r="C37" s="16">
        <v>0</v>
      </c>
      <c r="D37" s="16">
        <f t="shared" si="3"/>
        <v>3876.559490209158</v>
      </c>
      <c r="E37" s="11">
        <v>0</v>
      </c>
      <c r="F37" s="11">
        <f t="shared" si="4"/>
        <v>3876.559490209158</v>
      </c>
    </row>
    <row r="38" spans="1:9" x14ac:dyDescent="0.25">
      <c r="A38" t="s">
        <v>38</v>
      </c>
      <c r="B38" s="16">
        <v>0</v>
      </c>
      <c r="C38" s="16">
        <f>-SUM($D$10:$D$11)*I34</f>
        <v>-4512.1719902091581</v>
      </c>
      <c r="D38" s="16">
        <f t="shared" si="3"/>
        <v>-4512.1719902091581</v>
      </c>
      <c r="E38" s="11">
        <v>0</v>
      </c>
      <c r="F38" s="11">
        <f t="shared" si="4"/>
        <v>-4512.1719902091581</v>
      </c>
    </row>
    <row r="39" spans="1:9" x14ac:dyDescent="0.25">
      <c r="A39" t="s">
        <v>39</v>
      </c>
      <c r="B39" s="16">
        <v>0</v>
      </c>
      <c r="C39" s="16">
        <v>0</v>
      </c>
      <c r="D39" s="16">
        <f t="shared" si="3"/>
        <v>0</v>
      </c>
      <c r="E39" s="11">
        <f>SUM($D$10:$D$11)</f>
        <v>635.61249999999995</v>
      </c>
      <c r="F39" s="11">
        <f t="shared" si="4"/>
        <v>635.61249999999995</v>
      </c>
    </row>
    <row r="40" spans="1:9" x14ac:dyDescent="0.25">
      <c r="A40" t="s">
        <v>54</v>
      </c>
      <c r="B40" s="16">
        <v>0</v>
      </c>
      <c r="C40" s="16">
        <v>0</v>
      </c>
      <c r="D40" s="16">
        <f t="shared" si="3"/>
        <v>0</v>
      </c>
      <c r="E40" s="11">
        <f>-$D$12</f>
        <v>-43484.612499999996</v>
      </c>
      <c r="F40" s="11">
        <f t="shared" si="4"/>
        <v>-43484.612499999996</v>
      </c>
    </row>
    <row r="41" spans="1:9" x14ac:dyDescent="0.25">
      <c r="A41" t="s">
        <v>22</v>
      </c>
      <c r="B41" s="16">
        <f>-$B$8-B30</f>
        <v>-444.44444444444446</v>
      </c>
      <c r="C41" s="16">
        <v>0</v>
      </c>
      <c r="D41" s="16">
        <f t="shared" si="3"/>
        <v>-444.44444444444446</v>
      </c>
      <c r="E41" s="11">
        <v>0</v>
      </c>
      <c r="F41" s="11">
        <f t="shared" si="4"/>
        <v>-444.44444444444446</v>
      </c>
    </row>
    <row r="42" spans="1:9" x14ac:dyDescent="0.25">
      <c r="A42" t="s">
        <v>23</v>
      </c>
      <c r="B42" s="17">
        <f>-B41</f>
        <v>444.44444444444446</v>
      </c>
      <c r="C42" s="17">
        <v>0</v>
      </c>
      <c r="D42" s="17">
        <f t="shared" si="3"/>
        <v>444.44444444444446</v>
      </c>
      <c r="E42" s="4">
        <v>0</v>
      </c>
      <c r="F42" s="4">
        <f t="shared" si="4"/>
        <v>444.44444444444446</v>
      </c>
    </row>
    <row r="43" spans="1:9" x14ac:dyDescent="0.25">
      <c r="A43" t="s">
        <v>55</v>
      </c>
      <c r="B43" s="15">
        <f>SUM(B32:B42)</f>
        <v>-1.8189894035458565E-11</v>
      </c>
      <c r="C43" s="15">
        <f t="shared" ref="C43:F43" si="5">SUM(C32:C42)</f>
        <v>2.0918378140777349E-11</v>
      </c>
      <c r="D43" s="15">
        <f t="shared" si="5"/>
        <v>2.7284841053187847E-12</v>
      </c>
      <c r="E43" s="3">
        <f t="shared" si="5"/>
        <v>0</v>
      </c>
      <c r="F43" s="3">
        <f t="shared" si="5"/>
        <v>7.2759576141834259E-12</v>
      </c>
    </row>
    <row r="44" spans="1:9" x14ac:dyDescent="0.25">
      <c r="B44" s="15"/>
      <c r="C44" s="15"/>
      <c r="D44" s="15"/>
      <c r="E44" s="3"/>
      <c r="F44" s="3"/>
    </row>
    <row r="45" spans="1:9" ht="13" x14ac:dyDescent="0.3">
      <c r="A45" s="1" t="s">
        <v>27</v>
      </c>
      <c r="B45" s="15"/>
      <c r="C45" s="15"/>
      <c r="D45" s="15"/>
      <c r="E45" s="3"/>
      <c r="F45" s="3"/>
    </row>
    <row r="46" spans="1:9" x14ac:dyDescent="0.25">
      <c r="A46" s="14" t="s">
        <v>1</v>
      </c>
      <c r="B46" s="15">
        <v>1</v>
      </c>
      <c r="C46" s="15">
        <v>2</v>
      </c>
      <c r="D46" s="20" t="s">
        <v>10</v>
      </c>
      <c r="E46" s="3"/>
      <c r="F46" s="3"/>
    </row>
    <row r="47" spans="1:9" x14ac:dyDescent="0.25">
      <c r="A47" t="s">
        <v>25</v>
      </c>
      <c r="B47" s="15"/>
      <c r="C47" s="15"/>
      <c r="D47" s="15"/>
      <c r="E47" s="3"/>
      <c r="F47" s="3"/>
    </row>
    <row r="48" spans="1:9" x14ac:dyDescent="0.25">
      <c r="A48" s="2" t="s">
        <v>40</v>
      </c>
      <c r="B48" s="16">
        <f>-B26</f>
        <v>553.42523783087256</v>
      </c>
      <c r="C48" s="15">
        <f>-B37</f>
        <v>-3876.559490209158</v>
      </c>
      <c r="D48" s="15">
        <f t="shared" ref="D48:D49" si="6">SUM(B48:C48)</f>
        <v>-3323.1342523782855</v>
      </c>
      <c r="E48" s="3"/>
      <c r="F48" s="3"/>
    </row>
    <row r="49" spans="1:6" x14ac:dyDescent="0.25">
      <c r="A49" s="2" t="s">
        <v>26</v>
      </c>
      <c r="B49" s="17">
        <f>-B30</f>
        <v>555.55555555555554</v>
      </c>
      <c r="C49" s="17">
        <f>-B41</f>
        <v>444.44444444444446</v>
      </c>
      <c r="D49" s="17">
        <f t="shared" si="6"/>
        <v>1000</v>
      </c>
      <c r="E49" s="3"/>
      <c r="F49" s="3"/>
    </row>
    <row r="50" spans="1:6" x14ac:dyDescent="0.25">
      <c r="B50" s="15">
        <f>SUM(B48:B49)</f>
        <v>1108.9807933864281</v>
      </c>
      <c r="C50" s="15">
        <f t="shared" ref="C50:D50" si="7">SUM(C48:C49)</f>
        <v>-3432.1150457647136</v>
      </c>
      <c r="D50" s="15">
        <f t="shared" si="7"/>
        <v>-2323.1342523782855</v>
      </c>
    </row>
    <row r="52" spans="1:6" x14ac:dyDescent="0.25">
      <c r="A52" t="s">
        <v>28</v>
      </c>
    </row>
    <row r="53" spans="1:6" x14ac:dyDescent="0.25">
      <c r="A53" s="2" t="s">
        <v>41</v>
      </c>
      <c r="B53" s="15">
        <f>-C27-E28</f>
        <v>-553.42523783087256</v>
      </c>
      <c r="C53" s="15">
        <f>-C38-E39</f>
        <v>3876.559490209158</v>
      </c>
      <c r="D53" s="15">
        <f t="shared" ref="D53:D55" si="8">SUM(B53:C53)</f>
        <v>3323.1342523782855</v>
      </c>
    </row>
    <row r="54" spans="1:6" x14ac:dyDescent="0.25">
      <c r="A54" s="2" t="s">
        <v>29</v>
      </c>
      <c r="B54" s="16">
        <f>-C19</f>
        <v>-4486.7047348299166</v>
      </c>
      <c r="C54" s="16">
        <v>0</v>
      </c>
      <c r="D54" s="15">
        <f t="shared" si="8"/>
        <v>-4486.7047348299166</v>
      </c>
    </row>
    <row r="55" spans="1:6" x14ac:dyDescent="0.25">
      <c r="A55" s="2" t="s">
        <v>30</v>
      </c>
      <c r="B55" s="17">
        <f>-B31</f>
        <v>-555.55555555555554</v>
      </c>
      <c r="C55" s="17">
        <f>-B42</f>
        <v>-444.44444444444446</v>
      </c>
      <c r="D55" s="17">
        <f t="shared" si="8"/>
        <v>-1000</v>
      </c>
    </row>
    <row r="56" spans="1:6" x14ac:dyDescent="0.25">
      <c r="B56" s="15">
        <f>SUM(B53:B55)</f>
        <v>-5595.6855282163451</v>
      </c>
      <c r="C56" s="15">
        <f t="shared" ref="C56:D56" si="9">SUM(C53:C55)</f>
        <v>3432.1150457647136</v>
      </c>
      <c r="D56" s="15">
        <f t="shared" si="9"/>
        <v>-2163.5704824516311</v>
      </c>
    </row>
    <row r="57" spans="1:6" x14ac:dyDescent="0.25">
      <c r="B57" s="21"/>
      <c r="C57" s="21"/>
      <c r="D57" s="21"/>
    </row>
    <row r="58" spans="1:6" x14ac:dyDescent="0.25">
      <c r="A58" t="s">
        <v>31</v>
      </c>
      <c r="B58" s="15">
        <f>SUM(B50,B56)</f>
        <v>-4486.7047348299166</v>
      </c>
      <c r="C58" s="15">
        <f>SUM(C50,C56)</f>
        <v>0</v>
      </c>
      <c r="D58" s="15">
        <f>SUM(D50,D56)</f>
        <v>-4486.7047348299166</v>
      </c>
    </row>
    <row r="59" spans="1:6" x14ac:dyDescent="0.25">
      <c r="A59" t="s">
        <v>49</v>
      </c>
      <c r="B59" s="17">
        <f>-F22</f>
        <v>-534.86704734829914</v>
      </c>
      <c r="C59" s="17">
        <f>-F33</f>
        <v>-430.54071782178221</v>
      </c>
      <c r="D59" s="17">
        <f>SUM(B59:C59)</f>
        <v>-965.40776517008135</v>
      </c>
    </row>
    <row r="60" spans="1:6" x14ac:dyDescent="0.25">
      <c r="B60" s="15">
        <f>SUM(B58:B59)</f>
        <v>-5021.5717821782155</v>
      </c>
      <c r="C60" s="15">
        <f>SUM(C58:C59)</f>
        <v>-430.54071782178221</v>
      </c>
      <c r="D60" s="15">
        <f>SUM(D58:D59)</f>
        <v>-5452.1124999999975</v>
      </c>
    </row>
    <row r="62" spans="1:6" ht="13" x14ac:dyDescent="0.3">
      <c r="A62" s="1" t="s">
        <v>44</v>
      </c>
    </row>
    <row r="63" spans="1:6" x14ac:dyDescent="0.25">
      <c r="A63" t="s">
        <v>45</v>
      </c>
      <c r="B63" s="15">
        <f>-$B$7</f>
        <v>50000</v>
      </c>
    </row>
    <row r="64" spans="1:6" x14ac:dyDescent="0.25">
      <c r="A64" t="s">
        <v>46</v>
      </c>
      <c r="B64" s="15">
        <f>B22+B33</f>
        <v>875.8657476216913</v>
      </c>
    </row>
    <row r="65" spans="1:9" x14ac:dyDescent="0.25">
      <c r="A65" t="s">
        <v>47</v>
      </c>
      <c r="B65" s="17">
        <f>-$C$9-$D$9</f>
        <v>-53198.999999999993</v>
      </c>
    </row>
    <row r="66" spans="1:9" x14ac:dyDescent="0.25">
      <c r="A66" t="s">
        <v>25</v>
      </c>
      <c r="B66" s="15">
        <f>SUM(B63:B65)</f>
        <v>-2323.1342523783023</v>
      </c>
      <c r="C66" s="12" t="str">
        <f>IF(ROUND(D50,9)=ROUND(B66,9),"[Pass]","[Fail]")</f>
        <v>[Pass]</v>
      </c>
    </row>
    <row r="67" spans="1:9" x14ac:dyDescent="0.25">
      <c r="A67" t="s">
        <v>70</v>
      </c>
      <c r="B67" s="15">
        <f>MAX(B66,0)</f>
        <v>0</v>
      </c>
      <c r="C67" s="12" t="str">
        <f>IF(ROUND(D50,9)=ROUND(B67,9),"[Pass]","[Fail]")</f>
        <v>[Fail]</v>
      </c>
    </row>
    <row r="69" spans="1:9" ht="13" collapsed="1" x14ac:dyDescent="0.3">
      <c r="A69" s="1" t="s">
        <v>65</v>
      </c>
    </row>
    <row r="70" spans="1:9" ht="13" x14ac:dyDescent="0.3">
      <c r="A70" s="1" t="s">
        <v>6</v>
      </c>
    </row>
    <row r="71" spans="1:9" ht="37.5" x14ac:dyDescent="0.25">
      <c r="B71" s="19" t="s">
        <v>16</v>
      </c>
      <c r="C71" s="19" t="s">
        <v>17</v>
      </c>
      <c r="D71" s="12" t="s">
        <v>8</v>
      </c>
      <c r="E71" t="s">
        <v>9</v>
      </c>
      <c r="F71" s="6" t="s">
        <v>12</v>
      </c>
    </row>
    <row r="72" spans="1:9" x14ac:dyDescent="0.25">
      <c r="B72" s="12" t="s">
        <v>5</v>
      </c>
      <c r="C72" s="12" t="s">
        <v>5</v>
      </c>
      <c r="D72" s="12" t="s">
        <v>10</v>
      </c>
      <c r="E72" t="s">
        <v>5</v>
      </c>
      <c r="F72" t="s">
        <v>10</v>
      </c>
    </row>
    <row r="73" spans="1:9" x14ac:dyDescent="0.25">
      <c r="A73" t="s">
        <v>7</v>
      </c>
      <c r="B73" s="15">
        <v>0</v>
      </c>
      <c r="C73" s="15">
        <v>0</v>
      </c>
      <c r="D73" s="15">
        <f t="shared" ref="D73:D86" si="10">SUM(B73:C73)</f>
        <v>0</v>
      </c>
      <c r="E73" s="3">
        <v>0</v>
      </c>
      <c r="F73" s="3">
        <f>SUM(D73:E73)</f>
        <v>0</v>
      </c>
    </row>
    <row r="74" spans="1:9" x14ac:dyDescent="0.25">
      <c r="A74" t="s">
        <v>11</v>
      </c>
      <c r="B74" s="15">
        <v>0</v>
      </c>
      <c r="C74" s="15">
        <f>$B$13</f>
        <v>4486.7047348299166</v>
      </c>
      <c r="D74" s="15">
        <f t="shared" si="10"/>
        <v>4486.7047348299166</v>
      </c>
      <c r="E74" s="3">
        <v>0</v>
      </c>
      <c r="F74" s="3">
        <f t="shared" ref="F74:F86" si="11">SUM(D74:E74)</f>
        <v>4486.7047348299166</v>
      </c>
    </row>
    <row r="75" spans="1:9" x14ac:dyDescent="0.25">
      <c r="A75" t="s">
        <v>13</v>
      </c>
      <c r="B75" s="15">
        <f>-$B$7</f>
        <v>50000</v>
      </c>
      <c r="C75" s="15">
        <v>0</v>
      </c>
      <c r="D75" s="15">
        <f t="shared" si="10"/>
        <v>50000</v>
      </c>
      <c r="E75" s="3">
        <v>0</v>
      </c>
      <c r="F75" s="3">
        <f t="shared" si="11"/>
        <v>50000</v>
      </c>
    </row>
    <row r="76" spans="1:9" x14ac:dyDescent="0.25">
      <c r="A76" t="s">
        <v>18</v>
      </c>
      <c r="B76" s="15">
        <f>-$B$8*H78</f>
        <v>-917.65505444556914</v>
      </c>
      <c r="C76" s="15">
        <f>-$B$8*I78</f>
        <v>-82.344945554430808</v>
      </c>
      <c r="D76" s="15">
        <f t="shared" si="10"/>
        <v>-1000</v>
      </c>
      <c r="E76" s="3">
        <v>0</v>
      </c>
      <c r="F76" s="3">
        <f t="shared" si="11"/>
        <v>-1000</v>
      </c>
      <c r="H76" s="8" t="s">
        <v>24</v>
      </c>
    </row>
    <row r="77" spans="1:9" x14ac:dyDescent="0.25">
      <c r="A77" t="s">
        <v>49</v>
      </c>
      <c r="B77" s="15">
        <f>SUM(B73:B76)*$B$3</f>
        <v>490.82344945554433</v>
      </c>
      <c r="C77" s="15">
        <f>SUM(C73:C76)*$B$3</f>
        <v>44.04359789275486</v>
      </c>
      <c r="D77" s="15">
        <f t="shared" si="10"/>
        <v>534.86704734829914</v>
      </c>
      <c r="E77" s="3">
        <v>0</v>
      </c>
      <c r="F77" s="3">
        <f t="shared" si="11"/>
        <v>534.86704734829914</v>
      </c>
      <c r="H77" s="9" t="s">
        <v>19</v>
      </c>
      <c r="I77" s="9" t="s">
        <v>17</v>
      </c>
    </row>
    <row r="78" spans="1:9" x14ac:dyDescent="0.25">
      <c r="A78" t="s">
        <v>36</v>
      </c>
      <c r="B78" s="15">
        <f>-$C$9*H78</f>
        <v>-9497.7298135116416</v>
      </c>
      <c r="C78" s="15">
        <v>0</v>
      </c>
      <c r="D78" s="15">
        <f t="shared" si="10"/>
        <v>-9497.7298135116416</v>
      </c>
      <c r="E78" s="3">
        <v>0</v>
      </c>
      <c r="F78" s="3">
        <f t="shared" si="11"/>
        <v>-9497.7298135116416</v>
      </c>
      <c r="G78" s="12"/>
      <c r="H78" s="13">
        <f>SUM(B73:B75)/SUM(D$73:D$75)</f>
        <v>0.91765505444556916</v>
      </c>
      <c r="I78" s="13">
        <f>SUM(C73:C75)/SUM($D$73:$D$75)</f>
        <v>8.234494555443081E-2</v>
      </c>
    </row>
    <row r="79" spans="1:9" x14ac:dyDescent="0.25">
      <c r="A79" t="s">
        <v>34</v>
      </c>
      <c r="B79" s="15">
        <v>0</v>
      </c>
      <c r="C79" s="15">
        <f>-$C$9*I78</f>
        <v>-852.27018648835883</v>
      </c>
      <c r="D79" s="15">
        <f t="shared" si="10"/>
        <v>-852.27018648835883</v>
      </c>
      <c r="E79" s="3">
        <v>0</v>
      </c>
      <c r="F79" s="3">
        <f t="shared" si="11"/>
        <v>-852.27018648835883</v>
      </c>
    </row>
    <row r="80" spans="1:9" x14ac:dyDescent="0.25">
      <c r="A80" t="s">
        <v>35</v>
      </c>
      <c r="B80" s="15">
        <v>0</v>
      </c>
      <c r="C80" s="15">
        <v>0</v>
      </c>
      <c r="D80" s="15">
        <f t="shared" si="10"/>
        <v>0</v>
      </c>
      <c r="E80" s="3">
        <f>$C$9</f>
        <v>10350</v>
      </c>
      <c r="F80" s="3">
        <f t="shared" si="11"/>
        <v>10350</v>
      </c>
    </row>
    <row r="81" spans="1:9" x14ac:dyDescent="0.25">
      <c r="A81" t="s">
        <v>37</v>
      </c>
      <c r="B81" s="15">
        <f>-SUM($C$10:$C$11)*H78</f>
        <v>-566.65199612013896</v>
      </c>
      <c r="C81" s="15">
        <v>0</v>
      </c>
      <c r="D81" s="15">
        <f t="shared" si="10"/>
        <v>-566.65199612013896</v>
      </c>
      <c r="E81" s="3">
        <v>0</v>
      </c>
      <c r="F81" s="3">
        <f t="shared" si="11"/>
        <v>-566.65199612013896</v>
      </c>
    </row>
    <row r="82" spans="1:9" x14ac:dyDescent="0.25">
      <c r="A82" t="s">
        <v>38</v>
      </c>
      <c r="B82" s="15">
        <v>0</v>
      </c>
      <c r="C82" s="15">
        <f>-SUM($C$10:$C$11)*I78</f>
        <v>-50.848003879861025</v>
      </c>
      <c r="D82" s="15">
        <f t="shared" si="10"/>
        <v>-50.848003879861025</v>
      </c>
      <c r="E82" s="3">
        <v>0</v>
      </c>
      <c r="F82" s="3">
        <f t="shared" si="11"/>
        <v>-50.848003879861025</v>
      </c>
    </row>
    <row r="83" spans="1:9" x14ac:dyDescent="0.25">
      <c r="A83" t="s">
        <v>39</v>
      </c>
      <c r="B83" s="15">
        <v>0</v>
      </c>
      <c r="C83" s="15">
        <v>0</v>
      </c>
      <c r="D83" s="15">
        <f t="shared" si="10"/>
        <v>0</v>
      </c>
      <c r="E83" s="3">
        <f>SUM($C$10:$C$11)</f>
        <v>617.5</v>
      </c>
      <c r="F83" s="3">
        <f t="shared" si="11"/>
        <v>617.5</v>
      </c>
    </row>
    <row r="84" spans="1:9" x14ac:dyDescent="0.25">
      <c r="A84" t="s">
        <v>54</v>
      </c>
      <c r="B84" s="16">
        <v>0</v>
      </c>
      <c r="C84" s="16">
        <v>0</v>
      </c>
      <c r="D84" s="16">
        <f t="shared" si="10"/>
        <v>0</v>
      </c>
      <c r="E84" s="11">
        <f>-$C$12</f>
        <v>-10967.5</v>
      </c>
      <c r="F84" s="11">
        <f t="shared" si="11"/>
        <v>-10967.5</v>
      </c>
    </row>
    <row r="85" spans="1:9" x14ac:dyDescent="0.25">
      <c r="A85" t="s">
        <v>32</v>
      </c>
      <c r="B85" s="16">
        <f>$B$76*10/(10+8)</f>
        <v>-509.80836358087174</v>
      </c>
      <c r="C85" s="16">
        <v>0</v>
      </c>
      <c r="D85" s="16">
        <f t="shared" si="10"/>
        <v>-509.80836358087174</v>
      </c>
      <c r="E85" s="11">
        <v>0</v>
      </c>
      <c r="F85" s="11">
        <f t="shared" si="11"/>
        <v>-509.80836358087174</v>
      </c>
    </row>
    <row r="86" spans="1:9" x14ac:dyDescent="0.25">
      <c r="A86" t="s">
        <v>23</v>
      </c>
      <c r="B86" s="17">
        <f>-B85</f>
        <v>509.80836358087174</v>
      </c>
      <c r="C86" s="17">
        <v>0</v>
      </c>
      <c r="D86" s="17">
        <f t="shared" si="10"/>
        <v>509.80836358087174</v>
      </c>
      <c r="E86" s="4">
        <v>0</v>
      </c>
      <c r="F86" s="4">
        <f t="shared" si="11"/>
        <v>509.80836358087174</v>
      </c>
    </row>
    <row r="87" spans="1:9" x14ac:dyDescent="0.25">
      <c r="A87" t="s">
        <v>21</v>
      </c>
      <c r="B87" s="16">
        <f>SUM(B73:B86)</f>
        <v>39508.786585378191</v>
      </c>
      <c r="C87" s="16">
        <f t="shared" ref="C87" si="12">SUM(C73:C86)</f>
        <v>3545.2851968000205</v>
      </c>
      <c r="D87" s="16">
        <f t="shared" ref="D87" si="13">SUM(D73:D86)</f>
        <v>43054.071782178216</v>
      </c>
      <c r="E87" s="11">
        <f t="shared" ref="E87" si="14">SUM(E73:E86)</f>
        <v>0</v>
      </c>
      <c r="F87" s="11">
        <f t="shared" ref="F87" si="15">SUM(F73:F86)</f>
        <v>43054.071782178216</v>
      </c>
    </row>
    <row r="88" spans="1:9" x14ac:dyDescent="0.25">
      <c r="A88" t="s">
        <v>49</v>
      </c>
      <c r="B88" s="16">
        <f>SUM(B87)*$B$3</f>
        <v>395.08786585378192</v>
      </c>
      <c r="C88" s="16">
        <f>SUM(C87)*$B$3</f>
        <v>35.452851968000203</v>
      </c>
      <c r="D88" s="16">
        <f t="shared" ref="D88:D97" si="16">SUM(B88:C88)</f>
        <v>430.5407178217821</v>
      </c>
      <c r="E88" s="11">
        <v>0</v>
      </c>
      <c r="F88" s="11">
        <f t="shared" ref="F88:F97" si="17">SUM(D88:E88)</f>
        <v>430.5407178217821</v>
      </c>
      <c r="H88" s="9" t="s">
        <v>19</v>
      </c>
      <c r="I88" s="9" t="s">
        <v>17</v>
      </c>
    </row>
    <row r="89" spans="1:9" x14ac:dyDescent="0.25">
      <c r="A89" t="s">
        <v>36</v>
      </c>
      <c r="B89" s="16">
        <f>-D9*H89</f>
        <v>-39320.601427938185</v>
      </c>
      <c r="C89" s="16">
        <v>0</v>
      </c>
      <c r="D89" s="16">
        <f t="shared" si="16"/>
        <v>-39320.601427938185</v>
      </c>
      <c r="E89" s="11">
        <v>0</v>
      </c>
      <c r="F89" s="11">
        <f t="shared" si="17"/>
        <v>-39320.601427938185</v>
      </c>
      <c r="H89" s="13">
        <f>SUM(B87:B88)/SUM($D$87:$D$88)</f>
        <v>0.91765505444556916</v>
      </c>
      <c r="I89" s="13">
        <f>SUM(C87:C88)/SUM(D$87:D$88)</f>
        <v>8.2344945554430796E-2</v>
      </c>
    </row>
    <row r="90" spans="1:9" x14ac:dyDescent="0.25">
      <c r="A90" t="s">
        <v>34</v>
      </c>
      <c r="B90" s="16">
        <v>0</v>
      </c>
      <c r="C90" s="16">
        <f>-D9*I89</f>
        <v>-3528.3985720618048</v>
      </c>
      <c r="D90" s="16">
        <f t="shared" si="16"/>
        <v>-3528.3985720618048</v>
      </c>
      <c r="E90" s="11">
        <v>0</v>
      </c>
      <c r="F90" s="11">
        <f t="shared" si="17"/>
        <v>-3528.3985720618048</v>
      </c>
    </row>
    <row r="91" spans="1:9" x14ac:dyDescent="0.25">
      <c r="A91" t="s">
        <v>35</v>
      </c>
      <c r="B91" s="16">
        <v>0</v>
      </c>
      <c r="C91" s="16">
        <v>0</v>
      </c>
      <c r="D91" s="16">
        <f t="shared" si="16"/>
        <v>0</v>
      </c>
      <c r="E91" s="11">
        <f>$D$9</f>
        <v>42848.999999999993</v>
      </c>
      <c r="F91" s="11">
        <f t="shared" si="17"/>
        <v>42848.999999999993</v>
      </c>
    </row>
    <row r="92" spans="1:9" x14ac:dyDescent="0.25">
      <c r="A92" t="s">
        <v>37</v>
      </c>
      <c r="B92" s="16">
        <f>-SUM($D$10:$D$11)*H89</f>
        <v>-583.27302329378426</v>
      </c>
      <c r="C92" s="16">
        <v>0</v>
      </c>
      <c r="D92" s="16">
        <f t="shared" si="16"/>
        <v>-583.27302329378426</v>
      </c>
      <c r="E92" s="11">
        <v>0</v>
      </c>
      <c r="F92" s="11">
        <f t="shared" si="17"/>
        <v>-583.27302329378426</v>
      </c>
    </row>
    <row r="93" spans="1:9" x14ac:dyDescent="0.25">
      <c r="A93" t="s">
        <v>38</v>
      </c>
      <c r="B93" s="16">
        <v>0</v>
      </c>
      <c r="C93" s="16">
        <f>-SUM($D$10:$D$11)*I89</f>
        <v>-52.339476706215642</v>
      </c>
      <c r="D93" s="16">
        <f t="shared" si="16"/>
        <v>-52.339476706215642</v>
      </c>
      <c r="E93" s="11">
        <v>0</v>
      </c>
      <c r="F93" s="11">
        <f t="shared" si="17"/>
        <v>-52.339476706215642</v>
      </c>
    </row>
    <row r="94" spans="1:9" x14ac:dyDescent="0.25">
      <c r="A94" t="s">
        <v>39</v>
      </c>
      <c r="B94" s="16">
        <v>0</v>
      </c>
      <c r="C94" s="16">
        <v>0</v>
      </c>
      <c r="D94" s="16">
        <f t="shared" si="16"/>
        <v>0</v>
      </c>
      <c r="E94" s="11">
        <f>SUM($D$10:$D$11)</f>
        <v>635.61249999999995</v>
      </c>
      <c r="F94" s="11">
        <f t="shared" si="17"/>
        <v>635.61249999999995</v>
      </c>
    </row>
    <row r="95" spans="1:9" x14ac:dyDescent="0.25">
      <c r="A95" t="s">
        <v>54</v>
      </c>
      <c r="B95" s="16">
        <v>0</v>
      </c>
      <c r="C95" s="16">
        <v>0</v>
      </c>
      <c r="D95" s="16">
        <f t="shared" si="16"/>
        <v>0</v>
      </c>
      <c r="E95" s="11">
        <f>-$D$12</f>
        <v>-43484.612499999996</v>
      </c>
      <c r="F95" s="11">
        <f t="shared" si="17"/>
        <v>-43484.612499999996</v>
      </c>
    </row>
    <row r="96" spans="1:9" x14ac:dyDescent="0.25">
      <c r="A96" t="s">
        <v>32</v>
      </c>
      <c r="B96" s="16">
        <f>$B$76-B85</f>
        <v>-407.84669086469739</v>
      </c>
      <c r="C96" s="16">
        <v>0</v>
      </c>
      <c r="D96" s="16">
        <f t="shared" si="16"/>
        <v>-407.84669086469739</v>
      </c>
      <c r="E96" s="11">
        <v>0</v>
      </c>
      <c r="F96" s="11">
        <f t="shared" si="17"/>
        <v>-407.84669086469739</v>
      </c>
    </row>
    <row r="97" spans="1:6" x14ac:dyDescent="0.25">
      <c r="A97" t="s">
        <v>23</v>
      </c>
      <c r="B97" s="17">
        <f>-B96</f>
        <v>407.84669086469739</v>
      </c>
      <c r="C97" s="17">
        <v>0</v>
      </c>
      <c r="D97" s="17">
        <f t="shared" si="16"/>
        <v>407.84669086469739</v>
      </c>
      <c r="E97" s="4">
        <v>0</v>
      </c>
      <c r="F97" s="4">
        <f t="shared" si="17"/>
        <v>407.84669086469739</v>
      </c>
    </row>
    <row r="98" spans="1:6" x14ac:dyDescent="0.25">
      <c r="A98" t="s">
        <v>55</v>
      </c>
      <c r="B98" s="15">
        <f>SUM(B87:B97)</f>
        <v>5.9117155615240335E-12</v>
      </c>
      <c r="C98" s="15">
        <f t="shared" ref="C98" si="18">SUM(C87:C97)</f>
        <v>2.7711166694643907E-13</v>
      </c>
      <c r="D98" s="15">
        <f t="shared" ref="D98" si="19">SUM(D87:D97)</f>
        <v>5.7411853049416095E-12</v>
      </c>
      <c r="E98" s="3">
        <f t="shared" ref="E98" si="20">SUM(E87:E97)</f>
        <v>0</v>
      </c>
      <c r="F98" s="3">
        <f t="shared" ref="F98" si="21">SUM(F87:F97)</f>
        <v>7.2759576141834259E-12</v>
      </c>
    </row>
    <row r="99" spans="1:6" x14ac:dyDescent="0.25">
      <c r="B99" s="15"/>
      <c r="C99" s="15"/>
      <c r="D99" s="15"/>
      <c r="E99" s="3"/>
      <c r="F99" s="3"/>
    </row>
    <row r="100" spans="1:6" x14ac:dyDescent="0.25">
      <c r="A100" t="s">
        <v>56</v>
      </c>
      <c r="B100" s="15"/>
      <c r="C100" s="15"/>
      <c r="D100" s="15"/>
      <c r="E100" s="3"/>
      <c r="F100" s="3"/>
    </row>
    <row r="101" spans="1:6" x14ac:dyDescent="0.25">
      <c r="B101" s="15"/>
      <c r="C101" s="15"/>
      <c r="D101" s="15"/>
      <c r="E101" s="3"/>
      <c r="F101" s="3"/>
    </row>
    <row r="102" spans="1:6" ht="13" x14ac:dyDescent="0.3">
      <c r="A102" s="1" t="s">
        <v>27</v>
      </c>
      <c r="B102" s="15"/>
      <c r="C102" s="15"/>
      <c r="D102" s="15"/>
      <c r="E102" s="3"/>
      <c r="F102" s="3"/>
    </row>
    <row r="103" spans="1:6" x14ac:dyDescent="0.25">
      <c r="A103" s="14" t="s">
        <v>1</v>
      </c>
      <c r="B103" s="15">
        <v>1</v>
      </c>
      <c r="C103" s="15">
        <v>2</v>
      </c>
      <c r="D103" s="20" t="s">
        <v>10</v>
      </c>
      <c r="E103" s="3"/>
      <c r="F103" s="3"/>
    </row>
    <row r="104" spans="1:6" x14ac:dyDescent="0.25">
      <c r="A104" t="s">
        <v>25</v>
      </c>
      <c r="B104" s="15"/>
      <c r="C104" s="15"/>
      <c r="D104" s="15"/>
      <c r="E104" s="3"/>
      <c r="F104" s="3"/>
    </row>
    <row r="105" spans="1:6" x14ac:dyDescent="0.25">
      <c r="A105" s="2" t="s">
        <v>40</v>
      </c>
      <c r="B105" s="16">
        <f>-B81</f>
        <v>566.65199612013896</v>
      </c>
      <c r="C105" s="15">
        <f>-B92</f>
        <v>583.27302329378426</v>
      </c>
      <c r="D105" s="15">
        <f t="shared" ref="D105:D106" si="22">SUM(B105:C105)</f>
        <v>1149.9250194139231</v>
      </c>
      <c r="E105" s="3"/>
      <c r="F105" s="3"/>
    </row>
    <row r="106" spans="1:6" x14ac:dyDescent="0.25">
      <c r="A106" s="2" t="s">
        <v>26</v>
      </c>
      <c r="B106" s="17">
        <f>-B85</f>
        <v>509.80836358087174</v>
      </c>
      <c r="C106" s="17">
        <f>-B96</f>
        <v>407.84669086469739</v>
      </c>
      <c r="D106" s="17">
        <f t="shared" si="22"/>
        <v>917.65505444556914</v>
      </c>
      <c r="E106" s="3"/>
      <c r="F106" s="3"/>
    </row>
    <row r="107" spans="1:6" x14ac:dyDescent="0.25">
      <c r="B107" s="15">
        <f>SUM(B105:B106)</f>
        <v>1076.4603597010107</v>
      </c>
      <c r="C107" s="15">
        <f t="shared" ref="C107" si="23">SUM(C105:C106)</f>
        <v>991.11971415848166</v>
      </c>
      <c r="D107" s="15">
        <f t="shared" ref="D107" si="24">SUM(D105:D106)</f>
        <v>2067.5800738594921</v>
      </c>
    </row>
    <row r="109" spans="1:6" x14ac:dyDescent="0.25">
      <c r="A109" t="s">
        <v>28</v>
      </c>
    </row>
    <row r="110" spans="1:6" x14ac:dyDescent="0.25">
      <c r="A110" s="2" t="s">
        <v>41</v>
      </c>
      <c r="B110" s="15">
        <f>-C82-E83</f>
        <v>-566.65199612013896</v>
      </c>
      <c r="C110" s="15">
        <f>-C93-E94</f>
        <v>-583.27302329378426</v>
      </c>
      <c r="D110" s="15">
        <f t="shared" ref="D110:D112" si="25">SUM(B110:C110)</f>
        <v>-1149.9250194139231</v>
      </c>
    </row>
    <row r="111" spans="1:6" x14ac:dyDescent="0.25">
      <c r="A111" s="2" t="s">
        <v>29</v>
      </c>
      <c r="B111" s="16">
        <f>-C74</f>
        <v>-4486.7047348299166</v>
      </c>
      <c r="C111" s="16">
        <v>0</v>
      </c>
      <c r="D111" s="15">
        <f t="shared" si="25"/>
        <v>-4486.7047348299166</v>
      </c>
    </row>
    <row r="112" spans="1:6" x14ac:dyDescent="0.25">
      <c r="A112" s="2" t="s">
        <v>30</v>
      </c>
      <c r="B112" s="17">
        <f>-B86</f>
        <v>-509.80836358087174</v>
      </c>
      <c r="C112" s="17">
        <f>-B97</f>
        <v>-407.84669086469739</v>
      </c>
      <c r="D112" s="17">
        <f t="shared" si="25"/>
        <v>-917.65505444556914</v>
      </c>
    </row>
    <row r="113" spans="1:6" x14ac:dyDescent="0.25">
      <c r="B113" s="15">
        <f>SUM(B110:B112)</f>
        <v>-5563.1650945309275</v>
      </c>
      <c r="C113" s="15">
        <f t="shared" ref="C113" si="26">SUM(C110:C112)</f>
        <v>-991.11971415848166</v>
      </c>
      <c r="D113" s="15">
        <f t="shared" ref="D113" si="27">SUM(D110:D112)</f>
        <v>-6554.2848086894091</v>
      </c>
    </row>
    <row r="114" spans="1:6" x14ac:dyDescent="0.25">
      <c r="B114" s="21"/>
      <c r="C114" s="21"/>
      <c r="D114" s="21"/>
    </row>
    <row r="115" spans="1:6" x14ac:dyDescent="0.25">
      <c r="A115" t="s">
        <v>31</v>
      </c>
      <c r="B115" s="15">
        <f>SUM(B107,B113)</f>
        <v>-4486.7047348299166</v>
      </c>
      <c r="C115" s="15">
        <f>SUM(C107,C113)</f>
        <v>0</v>
      </c>
      <c r="D115" s="15">
        <f>SUM(D107,D113)</f>
        <v>-4486.7047348299166</v>
      </c>
    </row>
    <row r="116" spans="1:6" x14ac:dyDescent="0.25">
      <c r="A116" t="s">
        <v>49</v>
      </c>
      <c r="B116" s="17">
        <f>-F77</f>
        <v>-534.86704734829914</v>
      </c>
      <c r="C116" s="17">
        <f>-F88</f>
        <v>-430.5407178217821</v>
      </c>
      <c r="D116" s="17">
        <f>SUM(B116:C116)</f>
        <v>-965.40776517008123</v>
      </c>
    </row>
    <row r="117" spans="1:6" x14ac:dyDescent="0.25">
      <c r="B117" s="15">
        <f>SUM(B115:B116)</f>
        <v>-5021.5717821782155</v>
      </c>
      <c r="C117" s="15">
        <f>SUM(C115:C116)</f>
        <v>-430.5407178217821</v>
      </c>
      <c r="D117" s="15">
        <f>SUM(D115:D116)</f>
        <v>-5452.1124999999975</v>
      </c>
    </row>
    <row r="119" spans="1:6" ht="13" x14ac:dyDescent="0.3">
      <c r="A119" s="1" t="s">
        <v>44</v>
      </c>
    </row>
    <row r="120" spans="1:6" x14ac:dyDescent="0.25">
      <c r="A120" t="s">
        <v>45</v>
      </c>
      <c r="B120" s="15">
        <f>-$B$7</f>
        <v>50000</v>
      </c>
    </row>
    <row r="121" spans="1:6" x14ac:dyDescent="0.25">
      <c r="A121" t="s">
        <v>46</v>
      </c>
      <c r="B121" s="15">
        <f>B77+B88</f>
        <v>885.91131530932626</v>
      </c>
    </row>
    <row r="122" spans="1:6" x14ac:dyDescent="0.25">
      <c r="A122" t="s">
        <v>47</v>
      </c>
      <c r="B122" s="17">
        <f>-$C$9-$D$9</f>
        <v>-53198.999999999993</v>
      </c>
    </row>
    <row r="123" spans="1:6" x14ac:dyDescent="0.25">
      <c r="A123" t="s">
        <v>25</v>
      </c>
      <c r="B123" s="15">
        <f>SUM(B120:B122)</f>
        <v>-2313.0886846906651</v>
      </c>
      <c r="C123" s="12" t="str">
        <f>IF(ROUND(D107,9)=ROUND(B123,9),"[Pass]","[Fail]")</f>
        <v>[Fail]</v>
      </c>
      <c r="D123" s="15"/>
    </row>
    <row r="124" spans="1:6" x14ac:dyDescent="0.25">
      <c r="A124" t="s">
        <v>70</v>
      </c>
      <c r="B124" s="15">
        <f>MAX(B123,0)</f>
        <v>0</v>
      </c>
      <c r="C124" s="12" t="str">
        <f>IF(ROUND(D107,9)=ROUND(B124,9),"[Pass]","[Fail]")</f>
        <v>[Fail]</v>
      </c>
    </row>
    <row r="126" spans="1:6" ht="13" collapsed="1" x14ac:dyDescent="0.3">
      <c r="A126" s="1" t="s">
        <v>72</v>
      </c>
    </row>
    <row r="127" spans="1:6" ht="13" x14ac:dyDescent="0.3">
      <c r="A127" s="1" t="s">
        <v>6</v>
      </c>
    </row>
    <row r="128" spans="1:6" ht="37.5" x14ac:dyDescent="0.25">
      <c r="B128" s="19" t="s">
        <v>16</v>
      </c>
      <c r="C128" s="19" t="s">
        <v>17</v>
      </c>
      <c r="D128" s="12" t="s">
        <v>8</v>
      </c>
      <c r="E128" t="s">
        <v>9</v>
      </c>
      <c r="F128" s="6" t="s">
        <v>12</v>
      </c>
    </row>
    <row r="129" spans="1:9" x14ac:dyDescent="0.25">
      <c r="B129" s="12" t="s">
        <v>5</v>
      </c>
      <c r="C129" s="12" t="s">
        <v>5</v>
      </c>
      <c r="D129" s="12" t="s">
        <v>10</v>
      </c>
      <c r="E129" t="s">
        <v>5</v>
      </c>
      <c r="F129" t="s">
        <v>10</v>
      </c>
    </row>
    <row r="130" spans="1:9" x14ac:dyDescent="0.25">
      <c r="A130" t="s">
        <v>7</v>
      </c>
      <c r="B130" s="15">
        <v>0</v>
      </c>
      <c r="C130" s="15">
        <v>0</v>
      </c>
      <c r="D130" s="15">
        <f t="shared" ref="D130:D143" si="28">SUM(B130:C130)</f>
        <v>0</v>
      </c>
      <c r="E130" s="3">
        <v>0</v>
      </c>
      <c r="F130" s="3">
        <f>SUM(D130:E130)</f>
        <v>0</v>
      </c>
    </row>
    <row r="131" spans="1:9" x14ac:dyDescent="0.25">
      <c r="A131" t="s">
        <v>11</v>
      </c>
      <c r="B131" s="15">
        <v>0</v>
      </c>
      <c r="C131" s="15">
        <f>$B$13</f>
        <v>4486.7047348299166</v>
      </c>
      <c r="D131" s="15">
        <f t="shared" si="28"/>
        <v>4486.7047348299166</v>
      </c>
      <c r="E131" s="3">
        <v>0</v>
      </c>
      <c r="F131" s="3">
        <f t="shared" ref="F131:F143" si="29">SUM(D131:E131)</f>
        <v>4486.7047348299166</v>
      </c>
    </row>
    <row r="132" spans="1:9" x14ac:dyDescent="0.25">
      <c r="A132" t="s">
        <v>13</v>
      </c>
      <c r="B132" s="15">
        <f>-$B$7</f>
        <v>50000</v>
      </c>
      <c r="C132" s="15">
        <v>0</v>
      </c>
      <c r="D132" s="15">
        <f t="shared" si="28"/>
        <v>50000</v>
      </c>
      <c r="E132" s="3">
        <v>0</v>
      </c>
      <c r="F132" s="3">
        <f t="shared" si="29"/>
        <v>50000</v>
      </c>
    </row>
    <row r="133" spans="1:9" x14ac:dyDescent="0.25">
      <c r="A133" t="s">
        <v>57</v>
      </c>
      <c r="B133" s="15">
        <f>-$B$8</f>
        <v>-1000</v>
      </c>
      <c r="C133" s="15">
        <v>0</v>
      </c>
      <c r="D133" s="15">
        <f t="shared" si="28"/>
        <v>-1000</v>
      </c>
      <c r="E133" s="3">
        <v>0</v>
      </c>
      <c r="F133" s="3">
        <f t="shared" si="29"/>
        <v>-1000</v>
      </c>
      <c r="H133" s="8" t="s">
        <v>59</v>
      </c>
    </row>
    <row r="134" spans="1:9" x14ac:dyDescent="0.25">
      <c r="A134" t="s">
        <v>49</v>
      </c>
      <c r="B134" s="15">
        <f>SUM(B130:B133)*$B$3</f>
        <v>490</v>
      </c>
      <c r="C134" s="15">
        <f>SUM(C130:C133)*$B$3</f>
        <v>44.867047348299167</v>
      </c>
      <c r="D134" s="15">
        <f t="shared" si="28"/>
        <v>534.86704734829914</v>
      </c>
      <c r="E134" s="3">
        <v>0</v>
      </c>
      <c r="F134" s="3">
        <f t="shared" si="29"/>
        <v>534.86704734829914</v>
      </c>
      <c r="H134" s="9" t="s">
        <v>19</v>
      </c>
      <c r="I134" s="9" t="s">
        <v>17</v>
      </c>
    </row>
    <row r="135" spans="1:9" x14ac:dyDescent="0.25">
      <c r="A135" t="s">
        <v>36</v>
      </c>
      <c r="B135" s="15">
        <f>-$C$9-C136</f>
        <v>-5818.4282178217845</v>
      </c>
      <c r="C135" s="15">
        <v>0</v>
      </c>
      <c r="D135" s="15">
        <f t="shared" si="28"/>
        <v>-5818.4282178217845</v>
      </c>
      <c r="E135" s="3">
        <v>0</v>
      </c>
      <c r="F135" s="3">
        <f t="shared" si="29"/>
        <v>-5818.4282178217845</v>
      </c>
      <c r="G135" s="12"/>
      <c r="H135" s="13">
        <f>SUM(B130:B136)/SUM(D$130:D$136)</f>
        <v>1</v>
      </c>
      <c r="I135" s="13">
        <f>SUM(C130:C136)/SUM($D$130:$D$136)</f>
        <v>0</v>
      </c>
    </row>
    <row r="136" spans="1:9" x14ac:dyDescent="0.25">
      <c r="A136" t="s">
        <v>34</v>
      </c>
      <c r="B136" s="15">
        <v>0</v>
      </c>
      <c r="C136" s="15">
        <f>-SUM(C130:C134)</f>
        <v>-4531.5717821782155</v>
      </c>
      <c r="D136" s="15">
        <f t="shared" si="28"/>
        <v>-4531.5717821782155</v>
      </c>
      <c r="E136" s="3">
        <v>0</v>
      </c>
      <c r="F136" s="3">
        <f t="shared" si="29"/>
        <v>-4531.5717821782155</v>
      </c>
    </row>
    <row r="137" spans="1:9" x14ac:dyDescent="0.25">
      <c r="A137" t="s">
        <v>35</v>
      </c>
      <c r="B137" s="15">
        <v>0</v>
      </c>
      <c r="C137" s="15">
        <v>0</v>
      </c>
      <c r="D137" s="15">
        <f t="shared" si="28"/>
        <v>0</v>
      </c>
      <c r="E137" s="3">
        <f>$C$9</f>
        <v>10350</v>
      </c>
      <c r="F137" s="3">
        <f t="shared" si="29"/>
        <v>10350</v>
      </c>
    </row>
    <row r="138" spans="1:9" x14ac:dyDescent="0.25">
      <c r="A138" t="s">
        <v>37</v>
      </c>
      <c r="B138" s="15">
        <f>-SUM($C$10:$C$11)*H135</f>
        <v>-617.5</v>
      </c>
      <c r="C138" s="15">
        <v>0</v>
      </c>
      <c r="D138" s="15">
        <f t="shared" si="28"/>
        <v>-617.5</v>
      </c>
      <c r="E138" s="3">
        <v>0</v>
      </c>
      <c r="F138" s="3">
        <f t="shared" si="29"/>
        <v>-617.5</v>
      </c>
    </row>
    <row r="139" spans="1:9" x14ac:dyDescent="0.25">
      <c r="A139" t="s">
        <v>38</v>
      </c>
      <c r="B139" s="15">
        <v>0</v>
      </c>
      <c r="C139" s="15">
        <f>-SUM($C$10:$C$11)*I135</f>
        <v>0</v>
      </c>
      <c r="D139" s="15">
        <f t="shared" si="28"/>
        <v>0</v>
      </c>
      <c r="E139" s="3">
        <v>0</v>
      </c>
      <c r="F139" s="3">
        <f t="shared" si="29"/>
        <v>0</v>
      </c>
    </row>
    <row r="140" spans="1:9" x14ac:dyDescent="0.25">
      <c r="A140" t="s">
        <v>39</v>
      </c>
      <c r="B140" s="15">
        <v>0</v>
      </c>
      <c r="C140" s="15">
        <v>0</v>
      </c>
      <c r="D140" s="15">
        <f t="shared" si="28"/>
        <v>0</v>
      </c>
      <c r="E140" s="3">
        <f>SUM($C$10:$C$11)</f>
        <v>617.5</v>
      </c>
      <c r="F140" s="3">
        <f t="shared" si="29"/>
        <v>617.5</v>
      </c>
    </row>
    <row r="141" spans="1:9" x14ac:dyDescent="0.25">
      <c r="A141" t="s">
        <v>54</v>
      </c>
      <c r="B141" s="16">
        <v>0</v>
      </c>
      <c r="C141" s="16">
        <v>0</v>
      </c>
      <c r="D141" s="16">
        <f t="shared" si="28"/>
        <v>0</v>
      </c>
      <c r="E141" s="11">
        <f>-$C$12</f>
        <v>-10967.5</v>
      </c>
      <c r="F141" s="11">
        <f t="shared" si="29"/>
        <v>-10967.5</v>
      </c>
    </row>
    <row r="142" spans="1:9" x14ac:dyDescent="0.25">
      <c r="A142" t="s">
        <v>22</v>
      </c>
      <c r="B142" s="16">
        <f>-$B$8*10/(10+8)</f>
        <v>-555.55555555555554</v>
      </c>
      <c r="C142" s="16">
        <v>0</v>
      </c>
      <c r="D142" s="16">
        <f t="shared" si="28"/>
        <v>-555.55555555555554</v>
      </c>
      <c r="E142" s="11">
        <v>0</v>
      </c>
      <c r="F142" s="11">
        <f t="shared" si="29"/>
        <v>-555.55555555555554</v>
      </c>
    </row>
    <row r="143" spans="1:9" x14ac:dyDescent="0.25">
      <c r="A143" t="s">
        <v>23</v>
      </c>
      <c r="B143" s="17">
        <f>-B142</f>
        <v>555.55555555555554</v>
      </c>
      <c r="C143" s="17">
        <v>0</v>
      </c>
      <c r="D143" s="17">
        <f t="shared" si="28"/>
        <v>555.55555555555554</v>
      </c>
      <c r="E143" s="4">
        <v>0</v>
      </c>
      <c r="F143" s="4">
        <f t="shared" si="29"/>
        <v>555.55555555555554</v>
      </c>
    </row>
    <row r="144" spans="1:9" x14ac:dyDescent="0.25">
      <c r="A144" t="s">
        <v>21</v>
      </c>
      <c r="B144" s="16">
        <f>SUM(B130:B143)</f>
        <v>43054.071782178216</v>
      </c>
      <c r="C144" s="16">
        <f t="shared" ref="C144" si="30">SUM(C130:C143)</f>
        <v>0</v>
      </c>
      <c r="D144" s="16">
        <f t="shared" ref="D144" si="31">SUM(D130:D143)</f>
        <v>43054.071782178216</v>
      </c>
      <c r="E144" s="11">
        <f t="shared" ref="E144" si="32">SUM(E130:E143)</f>
        <v>0</v>
      </c>
      <c r="F144" s="11">
        <f t="shared" ref="F144" si="33">SUM(F130:F143)</f>
        <v>43054.071782178216</v>
      </c>
    </row>
    <row r="145" spans="1:9" x14ac:dyDescent="0.25">
      <c r="A145" t="s">
        <v>49</v>
      </c>
      <c r="B145" s="16">
        <f>SUM(B144)*$B$3</f>
        <v>430.54071782178215</v>
      </c>
      <c r="C145" s="16">
        <f>SUM(C144)*$B$3</f>
        <v>0</v>
      </c>
      <c r="D145" s="16">
        <f t="shared" ref="D145:D154" si="34">SUM(B145:C145)</f>
        <v>430.54071782178215</v>
      </c>
      <c r="E145" s="11">
        <v>0</v>
      </c>
      <c r="F145" s="11">
        <f t="shared" ref="F145:F154" si="35">SUM(D145:E145)</f>
        <v>430.54071782178215</v>
      </c>
      <c r="H145" s="9" t="s">
        <v>19</v>
      </c>
      <c r="I145" s="9" t="s">
        <v>17</v>
      </c>
    </row>
    <row r="146" spans="1:9" x14ac:dyDescent="0.25">
      <c r="A146" t="s">
        <v>36</v>
      </c>
      <c r="B146" s="16">
        <f>-D63*H146</f>
        <v>0</v>
      </c>
      <c r="C146" s="16">
        <v>0</v>
      </c>
      <c r="D146" s="16">
        <f t="shared" si="34"/>
        <v>0</v>
      </c>
      <c r="E146" s="11">
        <v>0</v>
      </c>
      <c r="F146" s="11">
        <f t="shared" si="35"/>
        <v>0</v>
      </c>
      <c r="H146" s="13">
        <f>SUM(B144:B145)/SUM($D$87:$D$88)</f>
        <v>1</v>
      </c>
      <c r="I146" s="13">
        <f>SUM(C144:C145)/SUM(D$87:D$88)</f>
        <v>0</v>
      </c>
    </row>
    <row r="147" spans="1:9" x14ac:dyDescent="0.25">
      <c r="A147" t="s">
        <v>34</v>
      </c>
      <c r="B147" s="16">
        <v>0</v>
      </c>
      <c r="C147" s="16">
        <f>-D63*I146</f>
        <v>0</v>
      </c>
      <c r="D147" s="16">
        <f t="shared" si="34"/>
        <v>0</v>
      </c>
      <c r="E147" s="11">
        <v>0</v>
      </c>
      <c r="F147" s="11">
        <f t="shared" si="35"/>
        <v>0</v>
      </c>
    </row>
    <row r="148" spans="1:9" x14ac:dyDescent="0.25">
      <c r="A148" t="s">
        <v>35</v>
      </c>
      <c r="B148" s="16">
        <v>0</v>
      </c>
      <c r="C148" s="16">
        <v>0</v>
      </c>
      <c r="D148" s="16">
        <f t="shared" si="34"/>
        <v>0</v>
      </c>
      <c r="E148" s="11">
        <f>$D$9</f>
        <v>42848.999999999993</v>
      </c>
      <c r="F148" s="11">
        <f t="shared" si="35"/>
        <v>42848.999999999993</v>
      </c>
    </row>
    <row r="149" spans="1:9" x14ac:dyDescent="0.25">
      <c r="A149" t="s">
        <v>37</v>
      </c>
      <c r="B149" s="16">
        <f>-SUM($D$10:$D$11)*H146</f>
        <v>-635.61249999999995</v>
      </c>
      <c r="C149" s="16">
        <v>0</v>
      </c>
      <c r="D149" s="16">
        <f t="shared" si="34"/>
        <v>-635.61249999999995</v>
      </c>
      <c r="E149" s="11">
        <v>0</v>
      </c>
      <c r="F149" s="11">
        <f t="shared" si="35"/>
        <v>-635.61249999999995</v>
      </c>
    </row>
    <row r="150" spans="1:9" x14ac:dyDescent="0.25">
      <c r="A150" t="s">
        <v>38</v>
      </c>
      <c r="B150" s="16">
        <v>0</v>
      </c>
      <c r="C150" s="16">
        <f>-SUM($D$10:$D$11)*I146</f>
        <v>0</v>
      </c>
      <c r="D150" s="16">
        <f t="shared" si="34"/>
        <v>0</v>
      </c>
      <c r="E150" s="11">
        <v>0</v>
      </c>
      <c r="F150" s="11">
        <f t="shared" si="35"/>
        <v>0</v>
      </c>
    </row>
    <row r="151" spans="1:9" x14ac:dyDescent="0.25">
      <c r="A151" t="s">
        <v>39</v>
      </c>
      <c r="B151" s="16">
        <v>0</v>
      </c>
      <c r="C151" s="16">
        <v>0</v>
      </c>
      <c r="D151" s="16">
        <f t="shared" si="34"/>
        <v>0</v>
      </c>
      <c r="E151" s="11">
        <f>SUM($D$10:$D$11)</f>
        <v>635.61249999999995</v>
      </c>
      <c r="F151" s="11">
        <f t="shared" si="35"/>
        <v>635.61249999999995</v>
      </c>
    </row>
    <row r="152" spans="1:9" x14ac:dyDescent="0.25">
      <c r="A152" t="s">
        <v>54</v>
      </c>
      <c r="B152" s="16">
        <v>0</v>
      </c>
      <c r="C152" s="16">
        <v>0</v>
      </c>
      <c r="D152" s="16">
        <f t="shared" si="34"/>
        <v>0</v>
      </c>
      <c r="E152" s="11">
        <f>-$D$12</f>
        <v>-43484.612499999996</v>
      </c>
      <c r="F152" s="11">
        <f t="shared" si="35"/>
        <v>-43484.612499999996</v>
      </c>
    </row>
    <row r="153" spans="1:9" x14ac:dyDescent="0.25">
      <c r="A153" t="s">
        <v>22</v>
      </c>
      <c r="B153" s="16">
        <f>-$B$8-B142</f>
        <v>-444.44444444444446</v>
      </c>
      <c r="C153" s="16">
        <v>0</v>
      </c>
      <c r="D153" s="16">
        <f t="shared" si="34"/>
        <v>-444.44444444444446</v>
      </c>
      <c r="E153" s="11">
        <v>0</v>
      </c>
      <c r="F153" s="11">
        <f t="shared" si="35"/>
        <v>-444.44444444444446</v>
      </c>
    </row>
    <row r="154" spans="1:9" x14ac:dyDescent="0.25">
      <c r="A154" t="s">
        <v>23</v>
      </c>
      <c r="B154" s="17">
        <f>-B153</f>
        <v>444.44444444444446</v>
      </c>
      <c r="C154" s="17">
        <v>0</v>
      </c>
      <c r="D154" s="17">
        <f t="shared" si="34"/>
        <v>444.44444444444446</v>
      </c>
      <c r="E154" s="4">
        <v>0</v>
      </c>
      <c r="F154" s="4">
        <f t="shared" si="35"/>
        <v>444.44444444444446</v>
      </c>
    </row>
    <row r="155" spans="1:9" x14ac:dyDescent="0.25">
      <c r="A155" t="s">
        <v>55</v>
      </c>
      <c r="B155" s="15">
        <f>SUM(B144:B154)</f>
        <v>42848.999999999993</v>
      </c>
      <c r="C155" s="15">
        <f t="shared" ref="C155" si="36">SUM(C144:C154)</f>
        <v>0</v>
      </c>
      <c r="D155" s="15">
        <f t="shared" ref="D155" si="37">SUM(D144:D154)</f>
        <v>42848.999999999993</v>
      </c>
      <c r="E155" s="3">
        <f t="shared" ref="E155" si="38">SUM(E144:E154)</f>
        <v>0</v>
      </c>
      <c r="F155" s="3">
        <f t="shared" ref="F155" si="39">SUM(F144:F154)</f>
        <v>42848.999999999993</v>
      </c>
    </row>
    <row r="156" spans="1:9" x14ac:dyDescent="0.25">
      <c r="B156" s="15"/>
      <c r="C156" s="15"/>
      <c r="D156" s="15"/>
      <c r="E156" s="3"/>
      <c r="F156" s="3"/>
    </row>
    <row r="157" spans="1:9" x14ac:dyDescent="0.25">
      <c r="A157" t="s">
        <v>58</v>
      </c>
      <c r="B157" s="15"/>
      <c r="C157" s="15"/>
      <c r="D157" s="15"/>
      <c r="E157" s="3"/>
      <c r="F157" s="3"/>
    </row>
    <row r="158" spans="1:9" x14ac:dyDescent="0.25">
      <c r="B158" s="15"/>
      <c r="C158" s="15"/>
      <c r="D158" s="15"/>
      <c r="E158" s="3"/>
      <c r="F158" s="3"/>
    </row>
    <row r="159" spans="1:9" ht="13" x14ac:dyDescent="0.3">
      <c r="A159" s="1" t="s">
        <v>27</v>
      </c>
      <c r="B159" s="15"/>
      <c r="C159" s="15"/>
      <c r="D159" s="15"/>
      <c r="E159" s="3"/>
      <c r="F159" s="3"/>
    </row>
    <row r="160" spans="1:9" x14ac:dyDescent="0.25">
      <c r="A160" s="14" t="s">
        <v>1</v>
      </c>
      <c r="B160" s="15">
        <v>1</v>
      </c>
      <c r="C160" s="15">
        <v>2</v>
      </c>
      <c r="D160" s="20" t="s">
        <v>10</v>
      </c>
      <c r="E160" s="3"/>
      <c r="F160" s="3"/>
    </row>
    <row r="161" spans="1:6" x14ac:dyDescent="0.25">
      <c r="A161" t="s">
        <v>25</v>
      </c>
      <c r="B161" s="15"/>
      <c r="C161" s="15"/>
      <c r="D161" s="15"/>
      <c r="E161" s="3"/>
      <c r="F161" s="3"/>
    </row>
    <row r="162" spans="1:6" x14ac:dyDescent="0.25">
      <c r="A162" s="2" t="s">
        <v>40</v>
      </c>
      <c r="B162" s="16">
        <f>-B138</f>
        <v>617.5</v>
      </c>
      <c r="C162" s="15">
        <f>-B149</f>
        <v>635.61249999999995</v>
      </c>
      <c r="D162" s="15">
        <f t="shared" ref="D162:D163" si="40">SUM(B162:C162)</f>
        <v>1253.1125</v>
      </c>
      <c r="E162" s="3"/>
      <c r="F162" s="3"/>
    </row>
    <row r="163" spans="1:6" x14ac:dyDescent="0.25">
      <c r="A163" s="2" t="s">
        <v>26</v>
      </c>
      <c r="B163" s="17">
        <f>-B142</f>
        <v>555.55555555555554</v>
      </c>
      <c r="C163" s="17">
        <f>-B153</f>
        <v>444.44444444444446</v>
      </c>
      <c r="D163" s="17">
        <f t="shared" si="40"/>
        <v>1000</v>
      </c>
      <c r="E163" s="3"/>
      <c r="F163" s="3"/>
    </row>
    <row r="164" spans="1:6" x14ac:dyDescent="0.25">
      <c r="B164" s="15">
        <f>SUM(B162:B163)</f>
        <v>1173.0555555555557</v>
      </c>
      <c r="C164" s="15">
        <f t="shared" ref="C164" si="41">SUM(C162:C163)</f>
        <v>1080.0569444444445</v>
      </c>
      <c r="D164" s="15">
        <f t="shared" ref="D164" si="42">SUM(D162:D163)</f>
        <v>2253.1125000000002</v>
      </c>
    </row>
    <row r="166" spans="1:6" x14ac:dyDescent="0.25">
      <c r="A166" t="s">
        <v>28</v>
      </c>
    </row>
    <row r="167" spans="1:6" x14ac:dyDescent="0.25">
      <c r="A167" s="2" t="s">
        <v>41</v>
      </c>
      <c r="B167" s="15">
        <f>-C139-E140</f>
        <v>-617.5</v>
      </c>
      <c r="C167" s="15">
        <f>-C150-E151</f>
        <v>-635.61249999999995</v>
      </c>
      <c r="D167" s="15">
        <f t="shared" ref="D167:D169" si="43">SUM(B167:C167)</f>
        <v>-1253.1125</v>
      </c>
    </row>
    <row r="168" spans="1:6" x14ac:dyDescent="0.25">
      <c r="A168" s="2" t="s">
        <v>29</v>
      </c>
      <c r="B168" s="16">
        <f>-C131</f>
        <v>-4486.7047348299166</v>
      </c>
      <c r="C168" s="16">
        <v>0</v>
      </c>
      <c r="D168" s="15">
        <f t="shared" si="43"/>
        <v>-4486.7047348299166</v>
      </c>
    </row>
    <row r="169" spans="1:6" x14ac:dyDescent="0.25">
      <c r="A169" s="2" t="s">
        <v>30</v>
      </c>
      <c r="B169" s="17">
        <f>-B143</f>
        <v>-555.55555555555554</v>
      </c>
      <c r="C169" s="17">
        <f>-B154</f>
        <v>-444.44444444444446</v>
      </c>
      <c r="D169" s="17">
        <f t="shared" si="43"/>
        <v>-1000</v>
      </c>
    </row>
    <row r="170" spans="1:6" x14ac:dyDescent="0.25">
      <c r="B170" s="15">
        <f>SUM(B167:B169)</f>
        <v>-5659.7602903854722</v>
      </c>
      <c r="C170" s="15">
        <f t="shared" ref="C170" si="44">SUM(C167:C169)</f>
        <v>-1080.0569444444445</v>
      </c>
      <c r="D170" s="15">
        <f t="shared" ref="D170" si="45">SUM(D167:D169)</f>
        <v>-6739.8172348299167</v>
      </c>
    </row>
    <row r="171" spans="1:6" x14ac:dyDescent="0.25">
      <c r="B171" s="21"/>
      <c r="C171" s="21"/>
      <c r="D171" s="21"/>
    </row>
    <row r="172" spans="1:6" x14ac:dyDescent="0.25">
      <c r="A172" t="s">
        <v>31</v>
      </c>
      <c r="B172" s="15">
        <f>SUM(B164,B170)</f>
        <v>-4486.7047348299166</v>
      </c>
      <c r="C172" s="15">
        <f>SUM(C164,C170)</f>
        <v>0</v>
      </c>
      <c r="D172" s="15">
        <f>SUM(D164,D170)</f>
        <v>-4486.7047348299166</v>
      </c>
    </row>
    <row r="173" spans="1:6" x14ac:dyDescent="0.25">
      <c r="A173" t="s">
        <v>49</v>
      </c>
      <c r="B173" s="17">
        <f>-F134</f>
        <v>-534.86704734829914</v>
      </c>
      <c r="C173" s="17">
        <f>-F145</f>
        <v>-430.54071782178215</v>
      </c>
      <c r="D173" s="17">
        <f>SUM(B173:C173)</f>
        <v>-965.40776517008135</v>
      </c>
    </row>
    <row r="174" spans="1:6" x14ac:dyDescent="0.25">
      <c r="B174" s="15">
        <f>SUM(B172:B173)</f>
        <v>-5021.5717821782155</v>
      </c>
      <c r="C174" s="15">
        <f>SUM(C172:C173)</f>
        <v>-430.54071782178215</v>
      </c>
      <c r="D174" s="15">
        <f>SUM(D172:D173)</f>
        <v>-5452.1124999999975</v>
      </c>
    </row>
    <row r="176" spans="1:6" ht="13" x14ac:dyDescent="0.3">
      <c r="A176" s="1" t="s">
        <v>44</v>
      </c>
    </row>
    <row r="177" spans="1:9" x14ac:dyDescent="0.25">
      <c r="A177" t="s">
        <v>45</v>
      </c>
      <c r="B177" s="15">
        <f>-$B$7</f>
        <v>50000</v>
      </c>
    </row>
    <row r="178" spans="1:9" x14ac:dyDescent="0.25">
      <c r="A178" t="s">
        <v>46</v>
      </c>
      <c r="B178" s="15">
        <f>B134+B145</f>
        <v>920.54071782178221</v>
      </c>
    </row>
    <row r="179" spans="1:9" x14ac:dyDescent="0.25">
      <c r="A179" t="s">
        <v>47</v>
      </c>
      <c r="B179" s="17">
        <f>-$C$9-$D$9</f>
        <v>-53198.999999999993</v>
      </c>
    </row>
    <row r="180" spans="1:9" x14ac:dyDescent="0.25">
      <c r="A180" t="s">
        <v>25</v>
      </c>
      <c r="B180" s="15">
        <f>SUM(B177:B179)</f>
        <v>-2278.4592821782135</v>
      </c>
      <c r="C180" s="12" t="str">
        <f>IF(ROUND(D164,9)=ROUND(B180,9),"[Pass]","[Fail]")</f>
        <v>[Fail]</v>
      </c>
    </row>
    <row r="181" spans="1:9" x14ac:dyDescent="0.25">
      <c r="A181" t="s">
        <v>70</v>
      </c>
      <c r="B181" s="15">
        <f>MAX(B180,0)</f>
        <v>0</v>
      </c>
      <c r="C181" s="12" t="str">
        <f>IF(ROUND(D164,9)=ROUND(B181,9),"[Pass]","[Fail]")</f>
        <v>[Fail]</v>
      </c>
    </row>
    <row r="183" spans="1:9" ht="13" x14ac:dyDescent="0.3">
      <c r="A183" s="22" t="s">
        <v>71</v>
      </c>
    </row>
    <row r="184" spans="1:9" ht="13" x14ac:dyDescent="0.3">
      <c r="A184" s="1" t="s">
        <v>6</v>
      </c>
    </row>
    <row r="185" spans="1:9" ht="37.5" x14ac:dyDescent="0.25">
      <c r="B185" s="19" t="s">
        <v>16</v>
      </c>
      <c r="C185" s="19" t="s">
        <v>17</v>
      </c>
      <c r="D185" s="12" t="s">
        <v>8</v>
      </c>
      <c r="E185" t="s">
        <v>9</v>
      </c>
      <c r="F185" s="6" t="s">
        <v>12</v>
      </c>
    </row>
    <row r="186" spans="1:9" x14ac:dyDescent="0.25">
      <c r="B186" s="12" t="s">
        <v>5</v>
      </c>
      <c r="C186" s="12" t="s">
        <v>5</v>
      </c>
      <c r="D186" s="12" t="s">
        <v>10</v>
      </c>
      <c r="E186" t="s">
        <v>5</v>
      </c>
      <c r="F186" t="s">
        <v>10</v>
      </c>
    </row>
    <row r="187" spans="1:9" x14ac:dyDescent="0.25">
      <c r="A187" t="s">
        <v>7</v>
      </c>
      <c r="B187" s="15">
        <v>0</v>
      </c>
      <c r="C187" s="15">
        <v>0</v>
      </c>
      <c r="D187" s="15">
        <f t="shared" ref="D187:D200" si="46">SUM(B187:C187)</f>
        <v>0</v>
      </c>
      <c r="E187" s="3">
        <v>0</v>
      </c>
      <c r="F187" s="3">
        <f>SUM(D187:E187)</f>
        <v>0</v>
      </c>
    </row>
    <row r="188" spans="1:9" x14ac:dyDescent="0.25">
      <c r="A188" t="s">
        <v>11</v>
      </c>
      <c r="B188" s="15">
        <v>0</v>
      </c>
      <c r="C188" s="15">
        <f>$B$13</f>
        <v>4486.7047348299166</v>
      </c>
      <c r="D188" s="15">
        <f t="shared" si="46"/>
        <v>4486.7047348299166</v>
      </c>
      <c r="E188" s="3">
        <v>0</v>
      </c>
      <c r="F188" s="3">
        <f t="shared" ref="F188:F200" si="47">SUM(D188:E188)</f>
        <v>4486.7047348299166</v>
      </c>
    </row>
    <row r="189" spans="1:9" x14ac:dyDescent="0.25">
      <c r="A189" t="s">
        <v>13</v>
      </c>
      <c r="B189" s="15">
        <f>-$B$7</f>
        <v>50000</v>
      </c>
      <c r="C189" s="15">
        <v>0</v>
      </c>
      <c r="D189" s="15">
        <f t="shared" si="46"/>
        <v>50000</v>
      </c>
      <c r="E189" s="3">
        <v>0</v>
      </c>
      <c r="F189" s="3">
        <f t="shared" si="47"/>
        <v>50000</v>
      </c>
    </row>
    <row r="190" spans="1:9" x14ac:dyDescent="0.25">
      <c r="A190" t="s">
        <v>18</v>
      </c>
      <c r="B190" s="15">
        <v>0</v>
      </c>
      <c r="C190" s="15">
        <f>-$B$8</f>
        <v>-1000</v>
      </c>
      <c r="D190" s="15">
        <f t="shared" si="46"/>
        <v>-1000</v>
      </c>
      <c r="E190" s="3">
        <v>0</v>
      </c>
      <c r="F190" s="3">
        <f t="shared" si="47"/>
        <v>-1000</v>
      </c>
      <c r="H190" s="23" t="s">
        <v>59</v>
      </c>
    </row>
    <row r="191" spans="1:9" x14ac:dyDescent="0.25">
      <c r="A191" t="s">
        <v>49</v>
      </c>
      <c r="B191" s="15">
        <f>SUM(B187:B190)*$B$3</f>
        <v>500</v>
      </c>
      <c r="C191" s="15">
        <f>SUM(C187:C190)*$B$3</f>
        <v>34.867047348299167</v>
      </c>
      <c r="D191" s="15">
        <f t="shared" si="46"/>
        <v>534.86704734829914</v>
      </c>
      <c r="E191" s="3">
        <v>0</v>
      </c>
      <c r="F191" s="3">
        <f t="shared" si="47"/>
        <v>534.86704734829914</v>
      </c>
      <c r="H191" s="9" t="s">
        <v>19</v>
      </c>
      <c r="I191" s="9" t="s">
        <v>17</v>
      </c>
    </row>
    <row r="192" spans="1:9" x14ac:dyDescent="0.25">
      <c r="A192" t="s">
        <v>36</v>
      </c>
      <c r="B192" s="15">
        <f>-5000*2*1.01</f>
        <v>-10100</v>
      </c>
      <c r="C192" s="15">
        <f>-C9-B192</f>
        <v>-250</v>
      </c>
      <c r="D192" s="15">
        <f t="shared" si="46"/>
        <v>-10350</v>
      </c>
      <c r="E192" s="3">
        <v>0</v>
      </c>
      <c r="F192" s="3">
        <f t="shared" si="47"/>
        <v>-10350</v>
      </c>
      <c r="G192" s="12"/>
      <c r="H192" s="7">
        <v>0</v>
      </c>
      <c r="I192" s="13">
        <v>1</v>
      </c>
    </row>
    <row r="193" spans="1:9" x14ac:dyDescent="0.25">
      <c r="A193" t="s">
        <v>34</v>
      </c>
      <c r="B193" s="15">
        <v>0</v>
      </c>
      <c r="C193" s="15">
        <v>0</v>
      </c>
      <c r="D193" s="15">
        <f t="shared" si="46"/>
        <v>0</v>
      </c>
      <c r="E193" s="3">
        <v>0</v>
      </c>
      <c r="F193" s="3">
        <f t="shared" si="47"/>
        <v>0</v>
      </c>
    </row>
    <row r="194" spans="1:9" x14ac:dyDescent="0.25">
      <c r="A194" t="s">
        <v>35</v>
      </c>
      <c r="B194" s="15">
        <v>0</v>
      </c>
      <c r="C194" s="15">
        <v>0</v>
      </c>
      <c r="D194" s="15">
        <f t="shared" si="46"/>
        <v>0</v>
      </c>
      <c r="E194" s="3">
        <f>$C$9</f>
        <v>10350</v>
      </c>
      <c r="F194" s="3">
        <f t="shared" si="47"/>
        <v>10350</v>
      </c>
    </row>
    <row r="195" spans="1:9" x14ac:dyDescent="0.25">
      <c r="A195" t="s">
        <v>37</v>
      </c>
      <c r="B195" s="15">
        <f>-SUM($C$10:$C$11)*H192</f>
        <v>0</v>
      </c>
      <c r="C195" s="15">
        <v>0</v>
      </c>
      <c r="D195" s="15">
        <f t="shared" si="46"/>
        <v>0</v>
      </c>
      <c r="E195" s="3">
        <v>0</v>
      </c>
      <c r="F195" s="3">
        <f t="shared" si="47"/>
        <v>0</v>
      </c>
    </row>
    <row r="196" spans="1:9" x14ac:dyDescent="0.25">
      <c r="A196" t="s">
        <v>38</v>
      </c>
      <c r="B196" s="15">
        <v>0</v>
      </c>
      <c r="C196" s="15">
        <f>-SUM($C$10:$C$11)*I192</f>
        <v>-617.5</v>
      </c>
      <c r="D196" s="15">
        <f t="shared" si="46"/>
        <v>-617.5</v>
      </c>
      <c r="E196" s="3">
        <v>0</v>
      </c>
      <c r="F196" s="3">
        <f t="shared" si="47"/>
        <v>-617.5</v>
      </c>
    </row>
    <row r="197" spans="1:9" x14ac:dyDescent="0.25">
      <c r="A197" t="s">
        <v>39</v>
      </c>
      <c r="B197" s="15">
        <v>0</v>
      </c>
      <c r="C197" s="15">
        <v>0</v>
      </c>
      <c r="D197" s="15">
        <f t="shared" si="46"/>
        <v>0</v>
      </c>
      <c r="E197" s="3">
        <f>SUM($C$10:$C$11)</f>
        <v>617.5</v>
      </c>
      <c r="F197" s="3">
        <f t="shared" si="47"/>
        <v>617.5</v>
      </c>
    </row>
    <row r="198" spans="1:9" x14ac:dyDescent="0.25">
      <c r="A198" t="s">
        <v>54</v>
      </c>
      <c r="B198" s="16">
        <v>0</v>
      </c>
      <c r="C198" s="16">
        <v>0</v>
      </c>
      <c r="D198" s="16">
        <f t="shared" si="46"/>
        <v>0</v>
      </c>
      <c r="E198" s="11">
        <f>-$C$12</f>
        <v>-10967.5</v>
      </c>
      <c r="F198" s="11">
        <f t="shared" si="47"/>
        <v>-10967.5</v>
      </c>
    </row>
    <row r="199" spans="1:9" x14ac:dyDescent="0.25">
      <c r="A199" t="s">
        <v>67</v>
      </c>
      <c r="B199" s="16">
        <v>0</v>
      </c>
      <c r="C199" s="16">
        <v>0</v>
      </c>
      <c r="D199" s="16">
        <f t="shared" si="46"/>
        <v>0</v>
      </c>
      <c r="E199" s="11">
        <v>0</v>
      </c>
      <c r="F199" s="11">
        <f t="shared" si="47"/>
        <v>0</v>
      </c>
    </row>
    <row r="200" spans="1:9" x14ac:dyDescent="0.25">
      <c r="A200" t="s">
        <v>23</v>
      </c>
      <c r="B200" s="17">
        <f>-B199</f>
        <v>0</v>
      </c>
      <c r="C200" s="17">
        <v>0</v>
      </c>
      <c r="D200" s="17">
        <f t="shared" si="46"/>
        <v>0</v>
      </c>
      <c r="E200" s="4">
        <v>0</v>
      </c>
      <c r="F200" s="4">
        <f t="shared" si="47"/>
        <v>0</v>
      </c>
    </row>
    <row r="201" spans="1:9" x14ac:dyDescent="0.25">
      <c r="A201" t="s">
        <v>21</v>
      </c>
      <c r="B201" s="16">
        <f>SUM(B187:B200)</f>
        <v>40400</v>
      </c>
      <c r="C201" s="16">
        <f t="shared" ref="C201:F201" si="48">SUM(C187:C200)</f>
        <v>2654.0717821782159</v>
      </c>
      <c r="D201" s="16">
        <f t="shared" si="48"/>
        <v>43054.071782178216</v>
      </c>
      <c r="E201" s="11">
        <f t="shared" si="48"/>
        <v>0</v>
      </c>
      <c r="F201" s="11">
        <f t="shared" si="48"/>
        <v>43054.071782178216</v>
      </c>
    </row>
    <row r="202" spans="1:9" x14ac:dyDescent="0.25">
      <c r="A202" t="s">
        <v>49</v>
      </c>
      <c r="B202" s="16">
        <f>SUM(B201)*$B$3</f>
        <v>404</v>
      </c>
      <c r="C202" s="16">
        <f>SUM(C201)*$B$3</f>
        <v>26.54071782178216</v>
      </c>
      <c r="D202" s="16">
        <f t="shared" ref="D202:D211" si="49">SUM(B202:C202)</f>
        <v>430.54071782178215</v>
      </c>
      <c r="E202" s="11">
        <v>0</v>
      </c>
      <c r="F202" s="11">
        <f t="shared" ref="F202:F211" si="50">SUM(D202:E202)</f>
        <v>430.54071782178215</v>
      </c>
      <c r="H202" s="9" t="s">
        <v>19</v>
      </c>
      <c r="I202" s="9" t="s">
        <v>17</v>
      </c>
    </row>
    <row r="203" spans="1:9" x14ac:dyDescent="0.25">
      <c r="A203" t="s">
        <v>36</v>
      </c>
      <c r="B203" s="16">
        <f>-5000*8*1.01^2</f>
        <v>-40804</v>
      </c>
      <c r="C203" s="16">
        <f>-D9-B203</f>
        <v>-2044.9999999999927</v>
      </c>
      <c r="D203" s="16">
        <f t="shared" si="49"/>
        <v>-42848.999999999993</v>
      </c>
      <c r="E203" s="11">
        <v>0</v>
      </c>
      <c r="F203" s="11">
        <f t="shared" si="50"/>
        <v>-42848.999999999993</v>
      </c>
      <c r="H203" s="13">
        <v>0</v>
      </c>
      <c r="I203" s="13">
        <v>1</v>
      </c>
    </row>
    <row r="204" spans="1:9" x14ac:dyDescent="0.25">
      <c r="A204" t="s">
        <v>34</v>
      </c>
      <c r="B204" s="16">
        <v>0</v>
      </c>
      <c r="C204" s="16">
        <f>-D120*I203</f>
        <v>0</v>
      </c>
      <c r="D204" s="16">
        <f t="shared" si="49"/>
        <v>0</v>
      </c>
      <c r="E204" s="11">
        <v>0</v>
      </c>
      <c r="F204" s="11">
        <f t="shared" si="50"/>
        <v>0</v>
      </c>
    </row>
    <row r="205" spans="1:9" x14ac:dyDescent="0.25">
      <c r="A205" t="s">
        <v>35</v>
      </c>
      <c r="B205" s="16">
        <v>0</v>
      </c>
      <c r="C205" s="16">
        <v>0</v>
      </c>
      <c r="D205" s="16">
        <f t="shared" si="49"/>
        <v>0</v>
      </c>
      <c r="E205" s="11">
        <f>$D$9</f>
        <v>42848.999999999993</v>
      </c>
      <c r="F205" s="11">
        <f t="shared" si="50"/>
        <v>42848.999999999993</v>
      </c>
    </row>
    <row r="206" spans="1:9" x14ac:dyDescent="0.25">
      <c r="A206" t="s">
        <v>37</v>
      </c>
      <c r="B206" s="16">
        <f>-SUM($D$10:$D$11)*H203</f>
        <v>0</v>
      </c>
      <c r="C206" s="16">
        <v>0</v>
      </c>
      <c r="D206" s="16">
        <f t="shared" si="49"/>
        <v>0</v>
      </c>
      <c r="E206" s="11">
        <v>0</v>
      </c>
      <c r="F206" s="11">
        <f t="shared" si="50"/>
        <v>0</v>
      </c>
    </row>
    <row r="207" spans="1:9" x14ac:dyDescent="0.25">
      <c r="A207" t="s">
        <v>38</v>
      </c>
      <c r="B207" s="16">
        <v>0</v>
      </c>
      <c r="C207" s="16">
        <f>-SUM($D$10:$D$11)*I203</f>
        <v>-635.61249999999995</v>
      </c>
      <c r="D207" s="16">
        <f t="shared" si="49"/>
        <v>-635.61249999999995</v>
      </c>
      <c r="E207" s="11">
        <v>0</v>
      </c>
      <c r="F207" s="11">
        <f t="shared" si="50"/>
        <v>-635.61249999999995</v>
      </c>
    </row>
    <row r="208" spans="1:9" x14ac:dyDescent="0.25">
      <c r="A208" t="s">
        <v>39</v>
      </c>
      <c r="B208" s="16">
        <v>0</v>
      </c>
      <c r="C208" s="16">
        <v>0</v>
      </c>
      <c r="D208" s="16">
        <f t="shared" si="49"/>
        <v>0</v>
      </c>
      <c r="E208" s="11">
        <f>SUM($D$10:$D$11)</f>
        <v>635.61249999999995</v>
      </c>
      <c r="F208" s="11">
        <f t="shared" si="50"/>
        <v>635.61249999999995</v>
      </c>
    </row>
    <row r="209" spans="1:6" x14ac:dyDescent="0.25">
      <c r="A209" t="s">
        <v>54</v>
      </c>
      <c r="B209" s="16">
        <v>0</v>
      </c>
      <c r="C209" s="16">
        <v>0</v>
      </c>
      <c r="D209" s="16">
        <f t="shared" si="49"/>
        <v>0</v>
      </c>
      <c r="E209" s="11">
        <f>-$D$12</f>
        <v>-43484.612499999996</v>
      </c>
      <c r="F209" s="11">
        <f t="shared" si="50"/>
        <v>-43484.612499999996</v>
      </c>
    </row>
    <row r="210" spans="1:6" x14ac:dyDescent="0.25">
      <c r="A210" t="s">
        <v>67</v>
      </c>
      <c r="B210" s="16">
        <v>0</v>
      </c>
      <c r="C210" s="16">
        <v>0</v>
      </c>
      <c r="D210" s="16">
        <f t="shared" si="49"/>
        <v>0</v>
      </c>
      <c r="E210" s="11">
        <v>0</v>
      </c>
      <c r="F210" s="11">
        <f t="shared" si="50"/>
        <v>0</v>
      </c>
    </row>
    <row r="211" spans="1:6" x14ac:dyDescent="0.25">
      <c r="A211" t="s">
        <v>23</v>
      </c>
      <c r="B211" s="17">
        <f>-B210</f>
        <v>0</v>
      </c>
      <c r="C211" s="17">
        <v>0</v>
      </c>
      <c r="D211" s="17">
        <f t="shared" si="49"/>
        <v>0</v>
      </c>
      <c r="E211" s="4">
        <v>0</v>
      </c>
      <c r="F211" s="4">
        <f t="shared" si="50"/>
        <v>0</v>
      </c>
    </row>
    <row r="212" spans="1:6" x14ac:dyDescent="0.25">
      <c r="A212" t="s">
        <v>55</v>
      </c>
      <c r="B212" s="15">
        <f>SUM(B201:B211)</f>
        <v>0</v>
      </c>
      <c r="C212" s="15">
        <f t="shared" ref="C212:F212" si="51">SUM(C201:C211)</f>
        <v>5.2295945351943374E-12</v>
      </c>
      <c r="D212" s="15">
        <f t="shared" si="51"/>
        <v>2.9558577807620168E-12</v>
      </c>
      <c r="E212" s="3">
        <f t="shared" si="51"/>
        <v>0</v>
      </c>
      <c r="F212" s="3">
        <f t="shared" si="51"/>
        <v>0</v>
      </c>
    </row>
    <row r="213" spans="1:6" x14ac:dyDescent="0.25">
      <c r="B213" s="15"/>
      <c r="C213" s="15"/>
      <c r="D213" s="15"/>
      <c r="E213" s="3"/>
      <c r="F213" s="3"/>
    </row>
    <row r="214" spans="1:6" x14ac:dyDescent="0.25">
      <c r="A214" t="s">
        <v>69</v>
      </c>
      <c r="B214" s="15"/>
      <c r="C214" s="15"/>
      <c r="D214" s="15"/>
      <c r="E214" s="3"/>
      <c r="F214" s="3"/>
    </row>
    <row r="215" spans="1:6" x14ac:dyDescent="0.25">
      <c r="B215" s="15"/>
      <c r="C215" s="15"/>
      <c r="D215" s="15"/>
      <c r="E215" s="3"/>
      <c r="F215" s="3"/>
    </row>
    <row r="216" spans="1:6" ht="13" x14ac:dyDescent="0.3">
      <c r="A216" s="1" t="s">
        <v>27</v>
      </c>
      <c r="B216" s="15"/>
      <c r="C216" s="15"/>
      <c r="D216" s="15"/>
      <c r="E216" s="3"/>
      <c r="F216" s="3"/>
    </row>
    <row r="217" spans="1:6" x14ac:dyDescent="0.25">
      <c r="A217" s="14" t="s">
        <v>1</v>
      </c>
      <c r="B217" s="15">
        <v>1</v>
      </c>
      <c r="C217" s="15">
        <v>2</v>
      </c>
      <c r="D217" s="20" t="s">
        <v>10</v>
      </c>
      <c r="E217" s="3"/>
      <c r="F217" s="3"/>
    </row>
    <row r="218" spans="1:6" x14ac:dyDescent="0.25">
      <c r="A218" t="s">
        <v>25</v>
      </c>
      <c r="B218" s="15"/>
      <c r="C218" s="15"/>
      <c r="D218" s="15"/>
      <c r="E218" s="3"/>
      <c r="F218" s="3"/>
    </row>
    <row r="219" spans="1:6" x14ac:dyDescent="0.25">
      <c r="A219" s="2" t="s">
        <v>40</v>
      </c>
      <c r="B219" s="16">
        <f>-B195</f>
        <v>0</v>
      </c>
      <c r="C219" s="15">
        <f>-B206</f>
        <v>0</v>
      </c>
      <c r="D219" s="15">
        <f t="shared" ref="D219:D220" si="52">SUM(B219:C219)</f>
        <v>0</v>
      </c>
      <c r="E219" s="3"/>
      <c r="F219" s="3"/>
    </row>
    <row r="220" spans="1:6" x14ac:dyDescent="0.25">
      <c r="A220" s="2" t="s">
        <v>26</v>
      </c>
      <c r="B220" s="17">
        <f>-B199</f>
        <v>0</v>
      </c>
      <c r="C220" s="17">
        <f>-B210</f>
        <v>0</v>
      </c>
      <c r="D220" s="17">
        <f t="shared" si="52"/>
        <v>0</v>
      </c>
      <c r="E220" s="3"/>
      <c r="F220" s="3"/>
    </row>
    <row r="221" spans="1:6" x14ac:dyDescent="0.25">
      <c r="B221" s="15">
        <f>SUM(B219:B220)</f>
        <v>0</v>
      </c>
      <c r="C221" s="15">
        <f t="shared" ref="C221:D221" si="53">SUM(C219:C220)</f>
        <v>0</v>
      </c>
      <c r="D221" s="15">
        <f t="shared" si="53"/>
        <v>0</v>
      </c>
    </row>
    <row r="223" spans="1:6" x14ac:dyDescent="0.25">
      <c r="A223" t="s">
        <v>28</v>
      </c>
    </row>
    <row r="224" spans="1:6" x14ac:dyDescent="0.25">
      <c r="A224" s="2" t="s">
        <v>41</v>
      </c>
      <c r="B224" s="15">
        <f>-C196-E197</f>
        <v>0</v>
      </c>
      <c r="C224" s="15">
        <f>-C207-E208</f>
        <v>0</v>
      </c>
      <c r="D224" s="15">
        <f t="shared" ref="D224:D226" si="54">SUM(B224:C224)</f>
        <v>0</v>
      </c>
    </row>
    <row r="225" spans="1:4" x14ac:dyDescent="0.25">
      <c r="A225" s="2" t="s">
        <v>29</v>
      </c>
      <c r="B225" s="16">
        <f>-C188</f>
        <v>-4486.7047348299166</v>
      </c>
      <c r="C225" s="16">
        <v>0</v>
      </c>
      <c r="D225" s="15">
        <f t="shared" si="54"/>
        <v>-4486.7047348299166</v>
      </c>
    </row>
    <row r="226" spans="1:4" x14ac:dyDescent="0.25">
      <c r="A226" s="2" t="s">
        <v>30</v>
      </c>
      <c r="B226" s="17">
        <f>-B200</f>
        <v>0</v>
      </c>
      <c r="C226" s="17">
        <f>-B211</f>
        <v>0</v>
      </c>
      <c r="D226" s="17">
        <f t="shared" si="54"/>
        <v>0</v>
      </c>
    </row>
    <row r="227" spans="1:4" x14ac:dyDescent="0.25">
      <c r="B227" s="15">
        <f>SUM(B224:B226)</f>
        <v>-4486.7047348299166</v>
      </c>
      <c r="C227" s="15">
        <f t="shared" ref="C227:D227" si="55">SUM(C224:C226)</f>
        <v>0</v>
      </c>
      <c r="D227" s="15">
        <f t="shared" si="55"/>
        <v>-4486.7047348299166</v>
      </c>
    </row>
    <row r="228" spans="1:4" x14ac:dyDescent="0.25">
      <c r="B228" s="21"/>
      <c r="C228" s="21"/>
      <c r="D228" s="21"/>
    </row>
    <row r="229" spans="1:4" x14ac:dyDescent="0.25">
      <c r="A229" t="s">
        <v>31</v>
      </c>
      <c r="B229" s="15">
        <f>SUM(B221,B227)</f>
        <v>-4486.7047348299166</v>
      </c>
      <c r="C229" s="15">
        <f>SUM(C221,C227)</f>
        <v>0</v>
      </c>
      <c r="D229" s="15">
        <f>SUM(D221,D227)</f>
        <v>-4486.7047348299166</v>
      </c>
    </row>
    <row r="230" spans="1:4" x14ac:dyDescent="0.25">
      <c r="A230" t="s">
        <v>49</v>
      </c>
      <c r="B230" s="17">
        <f>-F191</f>
        <v>-534.86704734829914</v>
      </c>
      <c r="C230" s="17">
        <f>-F202</f>
        <v>-430.54071782178215</v>
      </c>
      <c r="D230" s="17">
        <f>SUM(B230:C230)</f>
        <v>-965.40776517008135</v>
      </c>
    </row>
    <row r="231" spans="1:4" x14ac:dyDescent="0.25">
      <c r="B231" s="15">
        <f>SUM(B229:B230)</f>
        <v>-5021.5717821782155</v>
      </c>
      <c r="C231" s="15">
        <f>SUM(C229:C230)</f>
        <v>-430.54071782178215</v>
      </c>
      <c r="D231" s="15">
        <f>SUM(D229:D230)</f>
        <v>-5452.1124999999975</v>
      </c>
    </row>
    <row r="233" spans="1:4" ht="13" x14ac:dyDescent="0.3">
      <c r="A233" s="1" t="s">
        <v>44</v>
      </c>
    </row>
    <row r="234" spans="1:4" x14ac:dyDescent="0.25">
      <c r="A234" t="s">
        <v>45</v>
      </c>
      <c r="B234" s="15">
        <f>-$B$7</f>
        <v>50000</v>
      </c>
    </row>
    <row r="235" spans="1:4" x14ac:dyDescent="0.25">
      <c r="A235" t="s">
        <v>46</v>
      </c>
      <c r="B235" s="15">
        <f>B191+B202</f>
        <v>904</v>
      </c>
    </row>
    <row r="236" spans="1:4" x14ac:dyDescent="0.25">
      <c r="A236" t="s">
        <v>47</v>
      </c>
      <c r="B236" s="17">
        <f>-$C$9-$D$9</f>
        <v>-53198.999999999993</v>
      </c>
    </row>
    <row r="237" spans="1:4" x14ac:dyDescent="0.25">
      <c r="A237" t="s">
        <v>25</v>
      </c>
      <c r="B237" s="15">
        <f>SUM(B234:B236)</f>
        <v>-2294.9999999999927</v>
      </c>
      <c r="C237" s="12" t="str">
        <f>IF(ROUND(D221,9)=ROUND(B237,9),"[Pass]","[Fail]")</f>
        <v>[Fail]</v>
      </c>
    </row>
    <row r="238" spans="1:4" x14ac:dyDescent="0.25">
      <c r="A238" t="s">
        <v>70</v>
      </c>
      <c r="B238" s="15">
        <f>MAX(B237,0)</f>
        <v>0</v>
      </c>
      <c r="C238" s="12" t="str">
        <f>IF(ROUND(D221,9)=ROUND(B238,9),"[Pass]","[Fail]")</f>
        <v>[Pass]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snipper xmlns="http://datasnipper" workbookId="456ba009-738f-48f9-8cc4-96c8a4852554" dataSnipperSheetDeleted="false" guid="f52c43e5-24e2-469b-9c9e-4776b1205f31" revision="2">
  <settings xmlns="" guid="43519153-dcea-446b-ab27-535b45caa816">
    <setting type="boolean" value="True" name="embed-documents" guid="d3cce54f-ae73-4986-9e21-e9aacc80987e"/>
  </settings>
</datasnipper>
</file>

<file path=customXml/itemProps1.xml><?xml version="1.0" encoding="utf-8"?>
<ds:datastoreItem xmlns:ds="http://schemas.openxmlformats.org/officeDocument/2006/customXml" ds:itemID="{91A6AEA4-C81F-48B6-9EC8-C1C269243082}">
  <ds:schemaRefs>
    <ds:schemaRef ds:uri="http://datasnipper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Scenario 1 - IACF &gt; premium</vt:lpstr>
      <vt:lpstr>Scenario 2 - NDIC &gt; premium</vt:lpstr>
      <vt:lpstr>Scenario 3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KH Lee (HK - ASR)</dc:creator>
  <cp:lastModifiedBy>carrie</cp:lastModifiedBy>
  <dcterms:created xsi:type="dcterms:W3CDTF">2024-03-19T09:09:54Z</dcterms:created>
  <dcterms:modified xsi:type="dcterms:W3CDTF">2024-04-22T02:13:23Z</dcterms:modified>
</cp:coreProperties>
</file>